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2"/>
  <workbookPr/>
  <mc:AlternateContent xmlns:mc="http://schemas.openxmlformats.org/markup-compatibility/2006">
    <mc:Choice Requires="x15">
      <x15ac:absPath xmlns:x15ac="http://schemas.microsoft.com/office/spreadsheetml/2010/11/ac" url="/Users/mac/iCloud Drive (archív) - 1/Documents/Vyzva_OPII_2019_7_9_STU/"/>
    </mc:Choice>
  </mc:AlternateContent>
  <xr:revisionPtr revIDLastSave="0" documentId="13_ncr:1_{8DA817DD-8A51-7044-8801-72D96E3FF3BD}" xr6:coauthVersionLast="45" xr6:coauthVersionMax="45" xr10:uidLastSave="{00000000-0000-0000-0000-000000000000}"/>
  <bookViews>
    <workbookView xWindow="0" yWindow="460" windowWidth="28800" windowHeight="16640" tabRatio="838" firstSheet="9" activeTab="14" xr2:uid="{00000000-000D-0000-FFFF-FFFF00000000}"/>
  </bookViews>
  <sheets>
    <sheet name="Úvod" sheetId="5" r:id="rId1"/>
    <sheet name="Zoznam hárkov" sheetId="25" r:id="rId2"/>
    <sheet name="Sumarizácia" sheetId="20" r:id="rId3"/>
    <sheet name="CBA - Agendové IS" sheetId="2" r:id="rId4"/>
    <sheet name="Analyza citlivosti - AgendovéIS" sheetId="7" r:id="rId5"/>
    <sheet name="Prínosy - Agendové IS" sheetId="4" r:id="rId6"/>
    <sheet name="Výdavky - Agendové IS" sheetId="6" r:id="rId7"/>
    <sheet name="Parametre - Agendové IS" sheetId="3" r:id="rId8"/>
    <sheet name="TCO" sheetId="11" r:id="rId9"/>
    <sheet name="TCO AS IS - SW" sheetId="17" r:id="rId10"/>
    <sheet name="TCO AS IS - HW" sheetId="18" r:id="rId11"/>
    <sheet name="TCO TO BE- SW" sheetId="9" r:id="rId12"/>
    <sheet name="TCO TO BE - HW" sheetId="10" r:id="rId13"/>
    <sheet name="Rozpočet - vývoj Aplikácií" sheetId="19" r:id="rId14"/>
    <sheet name="Rozpočet - HW a licencie" sheetId="27" r:id="rId15"/>
    <sheet name="Slepý rozpočet" sheetId="26" r:id="rId16"/>
    <sheet name="Faktory" sheetId="1" r:id="rId17"/>
    <sheet name="Procesné mapy" sheetId="22" r:id="rId18"/>
    <sheet name="Procesy - AS IS" sheetId="23" r:id="rId19"/>
    <sheet name="Procesy - TO BE" sheetId="24" r:id="rId20"/>
    <sheet name="Rozdelenie prínosov" sheetId="1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3" i="3" l="1"/>
  <c r="E63" i="3" s="1"/>
  <c r="H64" i="3"/>
  <c r="E64" i="3" s="1"/>
  <c r="H62" i="3"/>
  <c r="E62" i="3" s="1"/>
  <c r="H61" i="3"/>
  <c r="H60" i="3"/>
  <c r="E60" i="3" s="1"/>
  <c r="H59" i="3"/>
  <c r="E59" i="3"/>
  <c r="H57" i="3"/>
  <c r="E57" i="3"/>
  <c r="H58" i="3"/>
  <c r="E58" i="3" s="1"/>
  <c r="F6" i="3"/>
  <c r="F7" i="3"/>
  <c r="F8" i="3"/>
  <c r="F9" i="3"/>
  <c r="F10" i="3"/>
  <c r="F11" i="3"/>
  <c r="F12" i="3"/>
  <c r="F1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54" i="3"/>
  <c r="E55" i="3"/>
  <c r="E56" i="3"/>
  <c r="E61" i="3"/>
  <c r="E5" i="3"/>
  <c r="D96" i="3"/>
  <c r="D97" i="3"/>
  <c r="D98" i="3"/>
  <c r="D99" i="3"/>
  <c r="D100" i="3"/>
  <c r="D101" i="3"/>
  <c r="D102" i="3"/>
  <c r="D103" i="3"/>
  <c r="D104" i="3"/>
  <c r="D10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54" i="3"/>
  <c r="D55" i="3"/>
  <c r="D56" i="3"/>
  <c r="D57" i="3"/>
  <c r="D58" i="3"/>
  <c r="D59" i="3"/>
  <c r="D60" i="3"/>
  <c r="D61" i="3"/>
  <c r="D62" i="3"/>
  <c r="D63" i="3"/>
  <c r="D64" i="3"/>
  <c r="D5" i="3"/>
  <c r="F39" i="10"/>
  <c r="F40" i="10"/>
  <c r="F41" i="10"/>
  <c r="F42" i="10"/>
  <c r="F43" i="10"/>
  <c r="F44" i="10"/>
  <c r="F38" i="10"/>
  <c r="D12" i="20" s="1"/>
  <c r="F141" i="9"/>
  <c r="G141" i="9"/>
  <c r="H141" i="9"/>
  <c r="F142" i="9"/>
  <c r="G142" i="9"/>
  <c r="H142" i="9"/>
  <c r="G140" i="9"/>
  <c r="H140" i="9"/>
  <c r="F140" i="9"/>
  <c r="F131" i="9"/>
  <c r="G131" i="9"/>
  <c r="H131" i="9"/>
  <c r="F132" i="9"/>
  <c r="G132" i="9"/>
  <c r="H132" i="9"/>
  <c r="G130" i="9"/>
  <c r="H130" i="9"/>
  <c r="F130" i="9"/>
  <c r="F62" i="9"/>
  <c r="G62" i="9"/>
  <c r="H62" i="9"/>
  <c r="F63" i="9"/>
  <c r="G63" i="9"/>
  <c r="H63" i="9"/>
  <c r="F64" i="9"/>
  <c r="G64" i="9"/>
  <c r="H64" i="9"/>
  <c r="F65" i="9"/>
  <c r="G65" i="9"/>
  <c r="H65" i="9"/>
  <c r="F66" i="9"/>
  <c r="G66" i="9"/>
  <c r="H66" i="9"/>
  <c r="F67" i="9"/>
  <c r="G67" i="9"/>
  <c r="H67" i="9"/>
  <c r="G61" i="9"/>
  <c r="H61" i="9"/>
  <c r="F61" i="9"/>
  <c r="E9" i="27" l="1"/>
  <c r="AM27" i="19"/>
  <c r="G5" i="9" l="1"/>
  <c r="H5" i="9"/>
  <c r="F5" i="9"/>
  <c r="AN24" i="19"/>
  <c r="AN25" i="19"/>
  <c r="AN26" i="19"/>
  <c r="AN27" i="19"/>
  <c r="AN28" i="19"/>
  <c r="AN29" i="19"/>
  <c r="AN23" i="19"/>
  <c r="AM24" i="19"/>
  <c r="AM25" i="19"/>
  <c r="AM26" i="19"/>
  <c r="AS27" i="19"/>
  <c r="AM28" i="19"/>
  <c r="AM29" i="19"/>
  <c r="AM23" i="19"/>
  <c r="AN17" i="19"/>
  <c r="AN18" i="19"/>
  <c r="AN19" i="19"/>
  <c r="AN20" i="19"/>
  <c r="AT20" i="19" s="1"/>
  <c r="AN21" i="19"/>
  <c r="AT21" i="19" s="1"/>
  <c r="AN16" i="19"/>
  <c r="AM17" i="19"/>
  <c r="AM18" i="19"/>
  <c r="AM19" i="19"/>
  <c r="AM20" i="19"/>
  <c r="AS20" i="19" s="1"/>
  <c r="AM21" i="19"/>
  <c r="AS21" i="19" s="1"/>
  <c r="AM16" i="19"/>
  <c r="AN11" i="19"/>
  <c r="AN12" i="19"/>
  <c r="AN13" i="19"/>
  <c r="AN14" i="19"/>
  <c r="AN10" i="19"/>
  <c r="AM11" i="19"/>
  <c r="AM12" i="19"/>
  <c r="AM13" i="19"/>
  <c r="AM14" i="19"/>
  <c r="AM10" i="19"/>
  <c r="AN6" i="19"/>
  <c r="AN7" i="19"/>
  <c r="AN8" i="19"/>
  <c r="AM6" i="19"/>
  <c r="AM7" i="19"/>
  <c r="AM8" i="19"/>
  <c r="AN5" i="19"/>
  <c r="AM5" i="19"/>
  <c r="H38" i="9" l="1"/>
  <c r="H37" i="9"/>
  <c r="E13" i="27"/>
  <c r="D3" i="27"/>
  <c r="E11" i="27"/>
  <c r="E12" i="27"/>
  <c r="E10" i="27"/>
  <c r="D7" i="27"/>
  <c r="D6" i="27"/>
  <c r="D5" i="27"/>
  <c r="D4" i="27"/>
  <c r="E14" i="27" l="1"/>
  <c r="F4" i="10" s="1"/>
  <c r="D8" i="20" s="1"/>
  <c r="AS11" i="19"/>
  <c r="AT11" i="19"/>
  <c r="AS12" i="19"/>
  <c r="AT12" i="19"/>
  <c r="AS13" i="19"/>
  <c r="AT13" i="19"/>
  <c r="AS14" i="19"/>
  <c r="AT14" i="19"/>
  <c r="AS5" i="19"/>
  <c r="AT5" i="19"/>
  <c r="G27" i="9" l="1"/>
  <c r="F3" i="10"/>
  <c r="E4" i="27"/>
  <c r="E5" i="27"/>
  <c r="E6" i="27"/>
  <c r="E7" i="27"/>
  <c r="E3" i="27"/>
  <c r="F34" i="10" l="1"/>
  <c r="E100" i="9"/>
  <c r="E107" i="9"/>
  <c r="E106" i="9"/>
  <c r="E104" i="9"/>
  <c r="E105" i="9"/>
  <c r="E103" i="9"/>
  <c r="E102" i="9"/>
  <c r="E101" i="9"/>
  <c r="G49" i="3"/>
  <c r="D49" i="3" s="1"/>
  <c r="H50" i="3"/>
  <c r="E50" i="3" s="1"/>
  <c r="H51" i="3"/>
  <c r="E51" i="3" s="1"/>
  <c r="H49" i="3"/>
  <c r="E49" i="3" s="1"/>
  <c r="G50" i="3"/>
  <c r="D50" i="3" s="1"/>
  <c r="G53" i="3"/>
  <c r="D53" i="3" s="1"/>
  <c r="I49" i="3" l="1"/>
  <c r="F49" i="3" s="1"/>
  <c r="I50" i="3"/>
  <c r="F50" i="3" s="1"/>
  <c r="H52" i="3"/>
  <c r="E52" i="3" s="1"/>
  <c r="H53" i="3"/>
  <c r="G52" i="3"/>
  <c r="D52" i="3" s="1"/>
  <c r="G51" i="3"/>
  <c r="I51" i="3" l="1"/>
  <c r="F51" i="3" s="1"/>
  <c r="D51" i="3"/>
  <c r="I53" i="3"/>
  <c r="F53" i="3" s="1"/>
  <c r="E53" i="3"/>
  <c r="I52" i="3"/>
  <c r="F52" i="3" s="1"/>
  <c r="AT27" i="19" l="1"/>
  <c r="AT28" i="19"/>
  <c r="AT29" i="19"/>
  <c r="H47" i="9" l="1"/>
  <c r="G47" i="9"/>
  <c r="F47" i="9"/>
  <c r="AS24" i="19"/>
  <c r="AT24" i="19"/>
  <c r="AS6" i="19"/>
  <c r="AT6" i="19"/>
  <c r="AT7" i="19"/>
  <c r="AT17" i="19"/>
  <c r="AS17" i="19"/>
  <c r="G47" i="3" l="1"/>
  <c r="D47" i="3" s="1"/>
  <c r="G46" i="3"/>
  <c r="D46" i="3" s="1"/>
  <c r="G45" i="3"/>
  <c r="D45" i="3" s="1"/>
  <c r="G48" i="3"/>
  <c r="D48" i="3" s="1"/>
  <c r="H46" i="3" l="1"/>
  <c r="H47" i="3"/>
  <c r="H48" i="3"/>
  <c r="E48" i="3" s="1"/>
  <c r="H45" i="3"/>
  <c r="E45" i="3" s="1"/>
  <c r="E138" i="14"/>
  <c r="E137" i="14"/>
  <c r="E136" i="14"/>
  <c r="E135" i="14"/>
  <c r="E134" i="14"/>
  <c r="E133" i="14"/>
  <c r="E132" i="14"/>
  <c r="E131" i="14"/>
  <c r="E130" i="14"/>
  <c r="E129" i="14"/>
  <c r="E128" i="14"/>
  <c r="D128" i="14"/>
  <c r="E127" i="14"/>
  <c r="D127" i="14" s="1"/>
  <c r="E126" i="14"/>
  <c r="D126" i="14"/>
  <c r="E125" i="14"/>
  <c r="D125" i="14" s="1"/>
  <c r="E124" i="14"/>
  <c r="D124" i="14" s="1"/>
  <c r="E123" i="14"/>
  <c r="D123" i="14" s="1"/>
  <c r="E122" i="14"/>
  <c r="D122" i="14"/>
  <c r="E121" i="14"/>
  <c r="D121" i="14" s="1"/>
  <c r="E120" i="14"/>
  <c r="D120" i="14" s="1"/>
  <c r="E119" i="14"/>
  <c r="D119" i="14" s="1"/>
  <c r="E118" i="14"/>
  <c r="E117" i="14"/>
  <c r="E116" i="14"/>
  <c r="D116" i="14" s="1"/>
  <c r="E115" i="14"/>
  <c r="E114" i="14"/>
  <c r="E113" i="14"/>
  <c r="E112" i="14"/>
  <c r="E111" i="14"/>
  <c r="E110" i="14"/>
  <c r="D110" i="14" s="1"/>
  <c r="E109" i="14"/>
  <c r="A107" i="14"/>
  <c r="E103" i="14"/>
  <c r="E102" i="14"/>
  <c r="E101" i="14"/>
  <c r="E100" i="14"/>
  <c r="E99" i="14"/>
  <c r="E98" i="14"/>
  <c r="E97" i="14"/>
  <c r="E96" i="14"/>
  <c r="E95" i="14"/>
  <c r="E94" i="14"/>
  <c r="E93" i="14"/>
  <c r="D93" i="14" s="1"/>
  <c r="E92" i="14"/>
  <c r="D92" i="14" s="1"/>
  <c r="E91" i="14"/>
  <c r="D91" i="14"/>
  <c r="E90" i="14"/>
  <c r="D90" i="14" s="1"/>
  <c r="E89" i="14"/>
  <c r="D89" i="14" s="1"/>
  <c r="E88" i="14"/>
  <c r="D88" i="14" s="1"/>
  <c r="E87" i="14"/>
  <c r="D87" i="14" s="1"/>
  <c r="E86" i="14"/>
  <c r="D86" i="14" s="1"/>
  <c r="E85" i="14"/>
  <c r="D85" i="14" s="1"/>
  <c r="E84" i="14"/>
  <c r="D84" i="14" s="1"/>
  <c r="E83" i="14"/>
  <c r="E82" i="14"/>
  <c r="E81" i="14"/>
  <c r="E80" i="14"/>
  <c r="E79" i="14"/>
  <c r="E78" i="14"/>
  <c r="E77" i="14"/>
  <c r="E76" i="14"/>
  <c r="E75" i="14"/>
  <c r="D75" i="14" s="1"/>
  <c r="E74" i="14"/>
  <c r="A72" i="14"/>
  <c r="E68" i="14"/>
  <c r="E67" i="14"/>
  <c r="E66" i="14"/>
  <c r="E65" i="14"/>
  <c r="E64" i="14"/>
  <c r="E63" i="14"/>
  <c r="E62" i="14"/>
  <c r="E61" i="14"/>
  <c r="E60" i="14"/>
  <c r="E59" i="14"/>
  <c r="E58" i="14"/>
  <c r="D58" i="14" s="1"/>
  <c r="E57" i="14"/>
  <c r="D57" i="14" s="1"/>
  <c r="E56" i="14"/>
  <c r="D56" i="14"/>
  <c r="E55" i="14"/>
  <c r="D55" i="14" s="1"/>
  <c r="E54" i="14"/>
  <c r="D54" i="14" s="1"/>
  <c r="E53" i="14"/>
  <c r="D53" i="14" s="1"/>
  <c r="E52" i="14"/>
  <c r="D52" i="14" s="1"/>
  <c r="E51" i="14"/>
  <c r="D51" i="14" s="1"/>
  <c r="E50" i="14"/>
  <c r="D50" i="14" s="1"/>
  <c r="E49" i="14"/>
  <c r="D49" i="14" s="1"/>
  <c r="E48" i="14"/>
  <c r="D48" i="14" s="1"/>
  <c r="E47" i="14"/>
  <c r="E46" i="14"/>
  <c r="E45" i="14"/>
  <c r="E44" i="14"/>
  <c r="E43" i="14"/>
  <c r="E42" i="14"/>
  <c r="E41" i="14"/>
  <c r="E40" i="14"/>
  <c r="D40" i="14" s="1"/>
  <c r="E39" i="14"/>
  <c r="A37" i="14"/>
  <c r="E33" i="14"/>
  <c r="E32" i="14"/>
  <c r="E31" i="14"/>
  <c r="E30" i="14"/>
  <c r="E29" i="14"/>
  <c r="E28" i="14"/>
  <c r="E27" i="14"/>
  <c r="E26" i="14"/>
  <c r="E25" i="14"/>
  <c r="E24" i="14"/>
  <c r="E23" i="14"/>
  <c r="D23" i="14" s="1"/>
  <c r="E22" i="14"/>
  <c r="D22" i="14"/>
  <c r="E21" i="14"/>
  <c r="D21" i="14" s="1"/>
  <c r="E20" i="14"/>
  <c r="D20" i="14" s="1"/>
  <c r="E19" i="14"/>
  <c r="D19" i="14" s="1"/>
  <c r="E18" i="14"/>
  <c r="D18" i="14" s="1"/>
  <c r="E17" i="14"/>
  <c r="D17" i="14" s="1"/>
  <c r="E16" i="14"/>
  <c r="D16" i="14" s="1"/>
  <c r="E15" i="14"/>
  <c r="D15" i="14" s="1"/>
  <c r="E14" i="14"/>
  <c r="D14" i="14" s="1"/>
  <c r="E13" i="14"/>
  <c r="E12" i="14"/>
  <c r="E11" i="14"/>
  <c r="E10" i="14"/>
  <c r="E9" i="14"/>
  <c r="E8" i="14"/>
  <c r="E7" i="14"/>
  <c r="E6" i="14"/>
  <c r="E5" i="14"/>
  <c r="E4" i="14"/>
  <c r="A2" i="14"/>
  <c r="D8" i="1"/>
  <c r="AO12" i="26"/>
  <c r="AN12" i="26"/>
  <c r="AM12" i="26"/>
  <c r="AF12" i="26"/>
  <c r="AE12" i="26"/>
  <c r="AD12" i="26"/>
  <c r="AC12" i="26"/>
  <c r="AP11" i="26"/>
  <c r="AH11" i="26"/>
  <c r="AG11" i="26"/>
  <c r="AI11" i="26" s="1"/>
  <c r="AP10" i="26"/>
  <c r="AH10" i="26"/>
  <c r="AG10" i="26"/>
  <c r="AP9" i="26"/>
  <c r="AH9" i="26"/>
  <c r="AG9" i="26"/>
  <c r="AP8" i="26"/>
  <c r="AH8" i="26"/>
  <c r="AG8" i="26"/>
  <c r="AP7" i="26"/>
  <c r="AP12" i="26" s="1"/>
  <c r="AH7" i="26"/>
  <c r="AG7" i="26"/>
  <c r="AP6" i="26"/>
  <c r="AH6" i="26"/>
  <c r="AG6" i="26"/>
  <c r="AT26" i="19"/>
  <c r="AS26" i="19"/>
  <c r="AT25" i="19"/>
  <c r="AS25" i="19"/>
  <c r="I37" i="9" s="1"/>
  <c r="E37" i="9" s="1"/>
  <c r="AT23" i="19"/>
  <c r="AS23" i="19"/>
  <c r="I36" i="9" s="1"/>
  <c r="AT19" i="19"/>
  <c r="AS19" i="19"/>
  <c r="AT18" i="19"/>
  <c r="AS18" i="19"/>
  <c r="AT16" i="19"/>
  <c r="AS16" i="19"/>
  <c r="AT10" i="19"/>
  <c r="AS10" i="19"/>
  <c r="AS8" i="19"/>
  <c r="F27" i="9" s="1"/>
  <c r="AT8" i="19"/>
  <c r="AS7" i="19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35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J12" i="11" s="1"/>
  <c r="J41" i="11" s="1"/>
  <c r="E9" i="10"/>
  <c r="E8" i="10"/>
  <c r="E7" i="10"/>
  <c r="E6" i="10"/>
  <c r="E5" i="10"/>
  <c r="E170" i="9"/>
  <c r="E169" i="9"/>
  <c r="E168" i="9"/>
  <c r="K11" i="11" s="1"/>
  <c r="K40" i="11" s="1"/>
  <c r="E167" i="9"/>
  <c r="E166" i="9"/>
  <c r="E165" i="9"/>
  <c r="E164" i="9"/>
  <c r="E163" i="9"/>
  <c r="E162" i="9"/>
  <c r="E161" i="9"/>
  <c r="E160" i="9"/>
  <c r="M11" i="11" s="1"/>
  <c r="E159" i="9"/>
  <c r="E158" i="9"/>
  <c r="E157" i="9"/>
  <c r="E156" i="9"/>
  <c r="I11" i="11" s="1"/>
  <c r="E155" i="9"/>
  <c r="E154" i="9"/>
  <c r="E153" i="9"/>
  <c r="E152" i="9"/>
  <c r="E11" i="11" s="1"/>
  <c r="E151" i="9"/>
  <c r="E149" i="9"/>
  <c r="E148" i="9"/>
  <c r="E147" i="9"/>
  <c r="E146" i="9"/>
  <c r="E145" i="9"/>
  <c r="E144" i="9"/>
  <c r="E143" i="9"/>
  <c r="E142" i="9"/>
  <c r="E139" i="9"/>
  <c r="E138" i="9"/>
  <c r="E137" i="9"/>
  <c r="E136" i="9"/>
  <c r="E135" i="9"/>
  <c r="E134" i="9"/>
  <c r="E133" i="9"/>
  <c r="E132" i="9"/>
  <c r="E128" i="9"/>
  <c r="E127" i="9"/>
  <c r="E126" i="9"/>
  <c r="E125" i="9"/>
  <c r="E124" i="9"/>
  <c r="E123" i="9"/>
  <c r="E122" i="9"/>
  <c r="E121" i="9"/>
  <c r="E120" i="9"/>
  <c r="E119" i="9"/>
  <c r="E109" i="9"/>
  <c r="E108" i="9"/>
  <c r="E99" i="9"/>
  <c r="E98" i="9"/>
  <c r="E97" i="9"/>
  <c r="E96" i="9"/>
  <c r="E95" i="9"/>
  <c r="E94" i="9"/>
  <c r="E93" i="9"/>
  <c r="E92" i="9"/>
  <c r="E91" i="9"/>
  <c r="E90" i="9"/>
  <c r="E89" i="9"/>
  <c r="E79" i="9"/>
  <c r="E77" i="9"/>
  <c r="E76" i="9"/>
  <c r="E75" i="9"/>
  <c r="E74" i="9"/>
  <c r="E73" i="9"/>
  <c r="E72" i="9"/>
  <c r="E71" i="9"/>
  <c r="E70" i="9"/>
  <c r="E69" i="9"/>
  <c r="E68" i="9"/>
  <c r="E67" i="9"/>
  <c r="E58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6" i="9"/>
  <c r="E35" i="9"/>
  <c r="E34" i="9"/>
  <c r="E33" i="9"/>
  <c r="E32" i="9"/>
  <c r="E31" i="9"/>
  <c r="E30" i="9"/>
  <c r="E29" i="9"/>
  <c r="E28" i="9"/>
  <c r="E24" i="9"/>
  <c r="E23" i="9"/>
  <c r="E22" i="9"/>
  <c r="E21" i="9"/>
  <c r="E20" i="9"/>
  <c r="E19" i="9"/>
  <c r="E18" i="9"/>
  <c r="G7" i="11" s="1"/>
  <c r="G36" i="11" s="1"/>
  <c r="E17" i="9"/>
  <c r="E16" i="9"/>
  <c r="E15" i="9"/>
  <c r="E14" i="9"/>
  <c r="E13" i="9"/>
  <c r="E12" i="9"/>
  <c r="E11" i="9"/>
  <c r="E10" i="9"/>
  <c r="E9" i="9"/>
  <c r="E8" i="9"/>
  <c r="E7" i="9"/>
  <c r="E6" i="9"/>
  <c r="E3" i="18"/>
  <c r="E25" i="17"/>
  <c r="E4" i="17"/>
  <c r="M27" i="11"/>
  <c r="L27" i="11"/>
  <c r="B12" i="6" s="1"/>
  <c r="K27" i="11"/>
  <c r="B11" i="6" s="1"/>
  <c r="J27" i="11"/>
  <c r="I27" i="11"/>
  <c r="H27" i="11"/>
  <c r="G27" i="11"/>
  <c r="B7" i="6" s="1"/>
  <c r="F27" i="11"/>
  <c r="B6" i="6" s="1"/>
  <c r="E27" i="11"/>
  <c r="B5" i="6" s="1"/>
  <c r="D27" i="11"/>
  <c r="B4" i="6" s="1"/>
  <c r="M25" i="11"/>
  <c r="H13" i="6" s="1"/>
  <c r="L25" i="11"/>
  <c r="H12" i="6" s="1"/>
  <c r="K25" i="11"/>
  <c r="J25" i="11"/>
  <c r="I25" i="11"/>
  <c r="H9" i="6" s="1"/>
  <c r="H25" i="11"/>
  <c r="H8" i="6" s="1"/>
  <c r="G25" i="11"/>
  <c r="H7" i="6" s="1"/>
  <c r="F25" i="11"/>
  <c r="E25" i="11"/>
  <c r="D25" i="11"/>
  <c r="M23" i="11"/>
  <c r="L23" i="11"/>
  <c r="K23" i="11"/>
  <c r="K28" i="11" s="1"/>
  <c r="J23" i="11"/>
  <c r="J28" i="11" s="1"/>
  <c r="I23" i="11"/>
  <c r="E9" i="6" s="1"/>
  <c r="H23" i="11"/>
  <c r="H28" i="11" s="1"/>
  <c r="G23" i="11"/>
  <c r="F23" i="11"/>
  <c r="E23" i="11"/>
  <c r="D23" i="11"/>
  <c r="G135" i="3"/>
  <c r="D135" i="3" s="1"/>
  <c r="G134" i="3"/>
  <c r="D134" i="3" s="1"/>
  <c r="G133" i="3"/>
  <c r="D133" i="3" s="1"/>
  <c r="G127" i="3"/>
  <c r="D127" i="3" s="1"/>
  <c r="J126" i="3"/>
  <c r="G126" i="3"/>
  <c r="D126" i="3" s="1"/>
  <c r="H125" i="3"/>
  <c r="E125" i="3" s="1"/>
  <c r="G125" i="3"/>
  <c r="D125" i="3" s="1"/>
  <c r="H124" i="3"/>
  <c r="E124" i="3" s="1"/>
  <c r="G124" i="3"/>
  <c r="D124" i="3" s="1"/>
  <c r="H123" i="3"/>
  <c r="E123" i="3" s="1"/>
  <c r="G123" i="3"/>
  <c r="D123" i="3" s="1"/>
  <c r="H122" i="3"/>
  <c r="E122" i="3" s="1"/>
  <c r="G122" i="3"/>
  <c r="D122" i="3" s="1"/>
  <c r="H121" i="3"/>
  <c r="E121" i="3" s="1"/>
  <c r="G121" i="3"/>
  <c r="D121" i="3" s="1"/>
  <c r="H120" i="3"/>
  <c r="E120" i="3" s="1"/>
  <c r="G120" i="3"/>
  <c r="D120" i="3" s="1"/>
  <c r="H119" i="3"/>
  <c r="E119" i="3" s="1"/>
  <c r="G119" i="3"/>
  <c r="D119" i="3" s="1"/>
  <c r="H118" i="3"/>
  <c r="E118" i="3" s="1"/>
  <c r="G118" i="3"/>
  <c r="D118" i="3" s="1"/>
  <c r="H117" i="3"/>
  <c r="E117" i="3" s="1"/>
  <c r="G117" i="3"/>
  <c r="D117" i="3" s="1"/>
  <c r="H116" i="3"/>
  <c r="E116" i="3" s="1"/>
  <c r="G116" i="3"/>
  <c r="D116" i="3" s="1"/>
  <c r="H115" i="3"/>
  <c r="E115" i="3" s="1"/>
  <c r="H114" i="3"/>
  <c r="E114" i="3" s="1"/>
  <c r="H113" i="3"/>
  <c r="E113" i="3" s="1"/>
  <c r="H112" i="3"/>
  <c r="E112" i="3" s="1"/>
  <c r="H111" i="3"/>
  <c r="E111" i="3" s="1"/>
  <c r="H110" i="3"/>
  <c r="E110" i="3" s="1"/>
  <c r="H109" i="3"/>
  <c r="E109" i="3" s="1"/>
  <c r="H108" i="3"/>
  <c r="E108" i="3" s="1"/>
  <c r="D118" i="14"/>
  <c r="D83" i="14"/>
  <c r="H95" i="3"/>
  <c r="E95" i="3" s="1"/>
  <c r="G95" i="3"/>
  <c r="D95" i="3" s="1"/>
  <c r="H94" i="3"/>
  <c r="E94" i="3" s="1"/>
  <c r="G94" i="3"/>
  <c r="D94" i="3" s="1"/>
  <c r="D81" i="14"/>
  <c r="D46" i="14"/>
  <c r="H93" i="3"/>
  <c r="E93" i="3" s="1"/>
  <c r="G93" i="3"/>
  <c r="D93" i="3" s="1"/>
  <c r="H92" i="3"/>
  <c r="E92" i="3" s="1"/>
  <c r="G92" i="3"/>
  <c r="D92" i="3" s="1"/>
  <c r="D114" i="14"/>
  <c r="D79" i="14"/>
  <c r="D44" i="14"/>
  <c r="H91" i="3"/>
  <c r="E91" i="3" s="1"/>
  <c r="G91" i="3"/>
  <c r="D91" i="3" s="1"/>
  <c r="H90" i="3"/>
  <c r="E90" i="3" s="1"/>
  <c r="G90" i="3"/>
  <c r="D90" i="3" s="1"/>
  <c r="D112" i="14"/>
  <c r="D77" i="14"/>
  <c r="D42" i="14"/>
  <c r="H89" i="3"/>
  <c r="E89" i="3" s="1"/>
  <c r="G89" i="3"/>
  <c r="D89" i="3" s="1"/>
  <c r="H88" i="3"/>
  <c r="G88" i="3"/>
  <c r="D88" i="3" s="1"/>
  <c r="H87" i="3"/>
  <c r="E87" i="3" s="1"/>
  <c r="G87" i="3"/>
  <c r="D87" i="3" s="1"/>
  <c r="H86" i="3"/>
  <c r="E86" i="3" s="1"/>
  <c r="G86" i="3"/>
  <c r="D86" i="3" s="1"/>
  <c r="G85" i="3"/>
  <c r="D85" i="3" s="1"/>
  <c r="G84" i="3"/>
  <c r="D84" i="3" s="1"/>
  <c r="G83" i="3"/>
  <c r="D83" i="3" s="1"/>
  <c r="G82" i="3"/>
  <c r="D82" i="3" s="1"/>
  <c r="G81" i="3"/>
  <c r="D81" i="3" s="1"/>
  <c r="G80" i="3"/>
  <c r="D80" i="3" s="1"/>
  <c r="G79" i="3"/>
  <c r="D79" i="3" s="1"/>
  <c r="G78" i="3"/>
  <c r="D78" i="3" s="1"/>
  <c r="G77" i="3"/>
  <c r="D77" i="3" s="1"/>
  <c r="G76" i="3"/>
  <c r="D76" i="3" s="1"/>
  <c r="G75" i="3"/>
  <c r="D75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J66" i="3"/>
  <c r="G66" i="3"/>
  <c r="D66" i="3" s="1"/>
  <c r="I64" i="3"/>
  <c r="F64" i="3" s="1"/>
  <c r="I63" i="3"/>
  <c r="F63" i="3" s="1"/>
  <c r="I62" i="3"/>
  <c r="F62" i="3" s="1"/>
  <c r="I56" i="3"/>
  <c r="F56" i="3" s="1"/>
  <c r="I55" i="3"/>
  <c r="F55" i="3" s="1"/>
  <c r="I54" i="3"/>
  <c r="F54" i="3" s="1"/>
  <c r="I48" i="3"/>
  <c r="F48" i="3" s="1"/>
  <c r="J45" i="3"/>
  <c r="I44" i="3"/>
  <c r="F44" i="3" s="1"/>
  <c r="J35" i="3"/>
  <c r="G115" i="3"/>
  <c r="D115" i="3" s="1"/>
  <c r="G114" i="3"/>
  <c r="D114" i="3" s="1"/>
  <c r="G113" i="3"/>
  <c r="D113" i="3" s="1"/>
  <c r="G112" i="3"/>
  <c r="D112" i="3" s="1"/>
  <c r="G111" i="3"/>
  <c r="D111" i="3" s="1"/>
  <c r="G110" i="3"/>
  <c r="D110" i="3" s="1"/>
  <c r="G109" i="3"/>
  <c r="D109" i="3" s="1"/>
  <c r="G108" i="3"/>
  <c r="D108" i="3" s="1"/>
  <c r="H107" i="3"/>
  <c r="E107" i="3" s="1"/>
  <c r="G107" i="3"/>
  <c r="D107" i="3" s="1"/>
  <c r="G106" i="3"/>
  <c r="D106" i="3" s="1"/>
  <c r="I14" i="3"/>
  <c r="F14" i="3" s="1"/>
  <c r="N14" i="6"/>
  <c r="K14" i="6"/>
  <c r="E13" i="6"/>
  <c r="B13" i="6"/>
  <c r="E12" i="6"/>
  <c r="H11" i="6"/>
  <c r="E11" i="6"/>
  <c r="H10" i="6"/>
  <c r="E10" i="6"/>
  <c r="B10" i="6"/>
  <c r="B9" i="6"/>
  <c r="B8" i="6"/>
  <c r="E7" i="6"/>
  <c r="H6" i="6"/>
  <c r="W5" i="6"/>
  <c r="E5" i="6"/>
  <c r="W4" i="6"/>
  <c r="H4" i="6"/>
  <c r="E4" i="6"/>
  <c r="H14" i="4"/>
  <c r="F14" i="4"/>
  <c r="E14" i="4"/>
  <c r="G13" i="4"/>
  <c r="G12" i="4"/>
  <c r="G11" i="4"/>
  <c r="G10" i="4"/>
  <c r="G9" i="4"/>
  <c r="G8" i="4"/>
  <c r="G7" i="4"/>
  <c r="G6" i="4"/>
  <c r="G5" i="4"/>
  <c r="G4" i="4"/>
  <c r="L2" i="20"/>
  <c r="F28" i="11" l="1"/>
  <c r="E6" i="6"/>
  <c r="D6" i="14"/>
  <c r="E88" i="3"/>
  <c r="G28" i="11"/>
  <c r="C25" i="11"/>
  <c r="AI7" i="26"/>
  <c r="M13" i="11"/>
  <c r="M42" i="11" s="1"/>
  <c r="E8" i="6"/>
  <c r="D28" i="11"/>
  <c r="L28" i="11"/>
  <c r="H27" i="9"/>
  <c r="H26" i="9" s="1"/>
  <c r="I47" i="3"/>
  <c r="F47" i="3" s="1"/>
  <c r="E47" i="3"/>
  <c r="E3" i="17"/>
  <c r="G11" i="11"/>
  <c r="G40" i="11" s="1"/>
  <c r="F12" i="11"/>
  <c r="F41" i="11" s="1"/>
  <c r="L12" i="11"/>
  <c r="L41" i="11" s="1"/>
  <c r="AI9" i="26"/>
  <c r="I46" i="3"/>
  <c r="F46" i="3" s="1"/>
  <c r="E46" i="3"/>
  <c r="I45" i="3"/>
  <c r="F45" i="3" s="1"/>
  <c r="F9" i="11"/>
  <c r="F38" i="11" s="1"/>
  <c r="J9" i="11"/>
  <c r="J38" i="11" s="1"/>
  <c r="AU21" i="19"/>
  <c r="I14" i="11"/>
  <c r="I43" i="11" s="1"/>
  <c r="L7" i="11"/>
  <c r="G9" i="11"/>
  <c r="G38" i="11" s="1"/>
  <c r="B6" i="4"/>
  <c r="Q6" i="4" s="1"/>
  <c r="F14" i="11"/>
  <c r="F43" i="11" s="1"/>
  <c r="J14" i="11"/>
  <c r="J43" i="11" s="1"/>
  <c r="H9" i="11"/>
  <c r="H38" i="11" s="1"/>
  <c r="L9" i="11"/>
  <c r="L38" i="11" s="1"/>
  <c r="AU14" i="19"/>
  <c r="G26" i="9" s="1"/>
  <c r="H12" i="11"/>
  <c r="H41" i="11" s="1"/>
  <c r="G12" i="11"/>
  <c r="G41" i="11" s="1"/>
  <c r="K12" i="11"/>
  <c r="K41" i="11" s="1"/>
  <c r="E12" i="11"/>
  <c r="E41" i="11" s="1"/>
  <c r="I12" i="11"/>
  <c r="I41" i="11" s="1"/>
  <c r="M12" i="11"/>
  <c r="M41" i="11" s="1"/>
  <c r="E14" i="6"/>
  <c r="H7" i="11"/>
  <c r="H36" i="11" s="1"/>
  <c r="H14" i="11"/>
  <c r="O8" i="6" s="1"/>
  <c r="P8" i="6" s="1"/>
  <c r="AG12" i="26"/>
  <c r="AI10" i="26"/>
  <c r="E28" i="11"/>
  <c r="I28" i="11"/>
  <c r="M28" i="11"/>
  <c r="K7" i="11"/>
  <c r="K36" i="11" s="1"/>
  <c r="E7" i="11"/>
  <c r="E36" i="11" s="1"/>
  <c r="I7" i="11"/>
  <c r="I36" i="11" s="1"/>
  <c r="M7" i="11"/>
  <c r="M36" i="11" s="1"/>
  <c r="M14" i="11"/>
  <c r="M43" i="11" s="1"/>
  <c r="H11" i="11"/>
  <c r="H40" i="11" s="1"/>
  <c r="L11" i="11"/>
  <c r="L40" i="11" s="1"/>
  <c r="D13" i="11"/>
  <c r="D42" i="11" s="1"/>
  <c r="E4" i="10"/>
  <c r="D12" i="11" s="1"/>
  <c r="D41" i="11" s="1"/>
  <c r="E40" i="10"/>
  <c r="I13" i="11" s="1"/>
  <c r="I42" i="11" s="1"/>
  <c r="E41" i="10"/>
  <c r="J13" i="11" s="1"/>
  <c r="J42" i="11" s="1"/>
  <c r="E39" i="10"/>
  <c r="H13" i="11" s="1"/>
  <c r="E42" i="10"/>
  <c r="K13" i="11" s="1"/>
  <c r="E43" i="10"/>
  <c r="L13" i="11" s="1"/>
  <c r="L42" i="11" s="1"/>
  <c r="E8" i="20"/>
  <c r="E37" i="10"/>
  <c r="F13" i="11" s="1"/>
  <c r="F42" i="11" s="1"/>
  <c r="E38" i="10"/>
  <c r="G13" i="11" s="1"/>
  <c r="G42" i="11" s="1"/>
  <c r="AH12" i="26"/>
  <c r="B14" i="6"/>
  <c r="H5" i="6"/>
  <c r="H14" i="6" s="1"/>
  <c r="G14" i="4"/>
  <c r="M18" i="20" s="1"/>
  <c r="C27" i="11"/>
  <c r="K9" i="11"/>
  <c r="K38" i="11" s="1"/>
  <c r="AI8" i="26"/>
  <c r="N4" i="4"/>
  <c r="N5" i="4"/>
  <c r="N9" i="4"/>
  <c r="N13" i="4"/>
  <c r="N6" i="4"/>
  <c r="N10" i="4"/>
  <c r="N7" i="4"/>
  <c r="N11" i="4"/>
  <c r="AU8" i="19"/>
  <c r="F26" i="9" s="1"/>
  <c r="AU26" i="19"/>
  <c r="E27" i="9" s="1"/>
  <c r="E9" i="11" s="1"/>
  <c r="E38" i="11" s="1"/>
  <c r="I4" i="9"/>
  <c r="F4" i="9"/>
  <c r="E150" i="9"/>
  <c r="F7" i="11"/>
  <c r="F36" i="11" s="1"/>
  <c r="J7" i="11"/>
  <c r="J36" i="11" s="1"/>
  <c r="I9" i="11"/>
  <c r="I38" i="11" s="1"/>
  <c r="M9" i="11"/>
  <c r="M38" i="11" s="1"/>
  <c r="M8" i="11"/>
  <c r="M37" i="11" s="1"/>
  <c r="G14" i="11"/>
  <c r="G43" i="11" s="1"/>
  <c r="K14" i="11"/>
  <c r="K43" i="11" s="1"/>
  <c r="F11" i="11"/>
  <c r="L6" i="6" s="1"/>
  <c r="M6" i="6" s="1"/>
  <c r="J11" i="11"/>
  <c r="J40" i="11" s="1"/>
  <c r="L14" i="11"/>
  <c r="L43" i="11" s="1"/>
  <c r="E40" i="11"/>
  <c r="L5" i="6"/>
  <c r="M5" i="6" s="1"/>
  <c r="I40" i="11"/>
  <c r="L9" i="6"/>
  <c r="M9" i="6" s="1"/>
  <c r="M40" i="11"/>
  <c r="L13" i="6"/>
  <c r="M13" i="6" s="1"/>
  <c r="D11" i="11"/>
  <c r="D40" i="11" s="1"/>
  <c r="D10" i="11"/>
  <c r="D39" i="11" s="1"/>
  <c r="D8" i="11"/>
  <c r="D37" i="11" s="1"/>
  <c r="O9" i="6"/>
  <c r="P9" i="6" s="1"/>
  <c r="L11" i="6"/>
  <c r="M11" i="6" s="1"/>
  <c r="L7" i="6"/>
  <c r="M7" i="6" s="1"/>
  <c r="AT30" i="19"/>
  <c r="I89" i="3"/>
  <c r="F89" i="3" s="1"/>
  <c r="K4" i="4"/>
  <c r="K12" i="4"/>
  <c r="C4" i="4"/>
  <c r="R4" i="4" s="1"/>
  <c r="C8" i="4"/>
  <c r="R8" i="4" s="1"/>
  <c r="B7" i="4"/>
  <c r="Q7" i="4" s="1"/>
  <c r="B9" i="4"/>
  <c r="Q9" i="4" s="1"/>
  <c r="B11" i="4"/>
  <c r="Q11" i="4" s="1"/>
  <c r="R10" i="6"/>
  <c r="N8" i="4"/>
  <c r="I91" i="3"/>
  <c r="F91" i="3" s="1"/>
  <c r="I120" i="3"/>
  <c r="F120" i="3" s="1"/>
  <c r="I117" i="3"/>
  <c r="F117" i="3" s="1"/>
  <c r="B8" i="4"/>
  <c r="Q8" i="4" s="1"/>
  <c r="I90" i="3"/>
  <c r="F90" i="3" s="1"/>
  <c r="I95" i="3"/>
  <c r="F95" i="3" s="1"/>
  <c r="K11" i="4"/>
  <c r="K13" i="4"/>
  <c r="Q13" i="6"/>
  <c r="T13" i="6" s="1"/>
  <c r="N12" i="4"/>
  <c r="R6" i="6"/>
  <c r="I116" i="3"/>
  <c r="F116" i="3" s="1"/>
  <c r="I124" i="3"/>
  <c r="F124" i="3" s="1"/>
  <c r="I115" i="3"/>
  <c r="F115" i="3" s="1"/>
  <c r="I87" i="3"/>
  <c r="F87" i="3" s="1"/>
  <c r="I92" i="3"/>
  <c r="F92" i="3" s="1"/>
  <c r="I94" i="3"/>
  <c r="F94" i="3" s="1"/>
  <c r="I121" i="3"/>
  <c r="F121" i="3" s="1"/>
  <c r="B12" i="4"/>
  <c r="Q12" i="4" s="1"/>
  <c r="I125" i="3"/>
  <c r="F125" i="3" s="1"/>
  <c r="I93" i="3"/>
  <c r="F93" i="3" s="1"/>
  <c r="C5" i="4"/>
  <c r="R5" i="4" s="1"/>
  <c r="B10" i="4"/>
  <c r="Q10" i="4" s="1"/>
  <c r="K5" i="4"/>
  <c r="I86" i="3"/>
  <c r="F86" i="3" s="1"/>
  <c r="B5" i="4"/>
  <c r="Q5" i="4" s="1"/>
  <c r="G15" i="4"/>
  <c r="E18" i="20" s="1"/>
  <c r="I109" i="3"/>
  <c r="F109" i="3" s="1"/>
  <c r="I113" i="3"/>
  <c r="F113" i="3" s="1"/>
  <c r="Q4" i="6"/>
  <c r="I110" i="3"/>
  <c r="F110" i="3" s="1"/>
  <c r="I111" i="3"/>
  <c r="F111" i="3" s="1"/>
  <c r="I107" i="3"/>
  <c r="F107" i="3" s="1"/>
  <c r="I108" i="3"/>
  <c r="F108" i="3" s="1"/>
  <c r="I112" i="3"/>
  <c r="F112" i="3" s="1"/>
  <c r="Q5" i="6"/>
  <c r="I114" i="3"/>
  <c r="F114" i="3" s="1"/>
  <c r="I123" i="3"/>
  <c r="F123" i="3" s="1"/>
  <c r="C11" i="4"/>
  <c r="C12" i="4"/>
  <c r="D4" i="14"/>
  <c r="D8" i="14"/>
  <c r="D12" i="14"/>
  <c r="I88" i="3"/>
  <c r="F88" i="3" s="1"/>
  <c r="Q7" i="6"/>
  <c r="T7" i="6" s="1"/>
  <c r="Q12" i="6"/>
  <c r="T12" i="6" s="1"/>
  <c r="I119" i="3"/>
  <c r="F119" i="3" s="1"/>
  <c r="C7" i="4"/>
  <c r="D39" i="14"/>
  <c r="D43" i="14"/>
  <c r="D47" i="14"/>
  <c r="I122" i="3"/>
  <c r="F122" i="3" s="1"/>
  <c r="D10" i="14"/>
  <c r="I118" i="3"/>
  <c r="F118" i="3" s="1"/>
  <c r="C9" i="4"/>
  <c r="B13" i="4"/>
  <c r="Q13" i="4" s="1"/>
  <c r="D41" i="14"/>
  <c r="D45" i="14"/>
  <c r="C6" i="4"/>
  <c r="C10" i="4"/>
  <c r="L36" i="11"/>
  <c r="AI6" i="26"/>
  <c r="D7" i="14"/>
  <c r="D80" i="14"/>
  <c r="D109" i="14"/>
  <c r="D117" i="14"/>
  <c r="B4" i="4"/>
  <c r="C13" i="4"/>
  <c r="C23" i="11"/>
  <c r="D5" i="14"/>
  <c r="D13" i="14"/>
  <c r="D78" i="14"/>
  <c r="D115" i="14"/>
  <c r="D11" i="14"/>
  <c r="D76" i="14"/>
  <c r="D113" i="14"/>
  <c r="D9" i="14"/>
  <c r="D74" i="14"/>
  <c r="D82" i="14"/>
  <c r="D111" i="14"/>
  <c r="H126" i="3"/>
  <c r="E126" i="3" s="1"/>
  <c r="H127" i="3"/>
  <c r="E127" i="3" s="1"/>
  <c r="H135" i="3"/>
  <c r="E135" i="3" s="1"/>
  <c r="H134" i="3"/>
  <c r="E134" i="3" s="1"/>
  <c r="H133" i="3"/>
  <c r="E133" i="3" s="1"/>
  <c r="H66" i="3"/>
  <c r="E66" i="3" s="1"/>
  <c r="H67" i="3"/>
  <c r="E67" i="3" s="1"/>
  <c r="H71" i="3"/>
  <c r="E71" i="3" s="1"/>
  <c r="H75" i="3"/>
  <c r="E75" i="3" s="1"/>
  <c r="H70" i="3"/>
  <c r="E70" i="3" s="1"/>
  <c r="H74" i="3"/>
  <c r="E74" i="3" s="1"/>
  <c r="H69" i="3"/>
  <c r="E69" i="3" s="1"/>
  <c r="H73" i="3"/>
  <c r="E73" i="3" s="1"/>
  <c r="H68" i="3"/>
  <c r="E68" i="3" s="1"/>
  <c r="H72" i="3"/>
  <c r="E72" i="3" s="1"/>
  <c r="H88" i="9" l="1"/>
  <c r="H87" i="9"/>
  <c r="H83" i="9"/>
  <c r="H82" i="9"/>
  <c r="H84" i="9"/>
  <c r="H86" i="9"/>
  <c r="H85" i="9"/>
  <c r="C13" i="6"/>
  <c r="D13" i="6" s="1"/>
  <c r="G83" i="9"/>
  <c r="G84" i="9"/>
  <c r="G86" i="9"/>
  <c r="G82" i="9"/>
  <c r="G85" i="9"/>
  <c r="G88" i="9"/>
  <c r="G87" i="9"/>
  <c r="F86" i="9"/>
  <c r="F82" i="9"/>
  <c r="F88" i="9"/>
  <c r="F83" i="9"/>
  <c r="F84" i="9"/>
  <c r="F87" i="9"/>
  <c r="F85" i="9"/>
  <c r="O10" i="6"/>
  <c r="P10" i="6" s="1"/>
  <c r="E116" i="9"/>
  <c r="E117" i="9"/>
  <c r="E113" i="9"/>
  <c r="E118" i="9"/>
  <c r="E111" i="9"/>
  <c r="E114" i="9"/>
  <c r="E115" i="9"/>
  <c r="I25" i="9"/>
  <c r="I3" i="9" s="1"/>
  <c r="H25" i="9"/>
  <c r="L12" i="6"/>
  <c r="M12" i="6" s="1"/>
  <c r="T4" i="4"/>
  <c r="H43" i="11"/>
  <c r="O6" i="6"/>
  <c r="P6" i="6" s="1"/>
  <c r="L10" i="6"/>
  <c r="M10" i="6" s="1"/>
  <c r="O13" i="6"/>
  <c r="P13" i="6" s="1"/>
  <c r="F40" i="11"/>
  <c r="C40" i="11" s="1"/>
  <c r="L4" i="6"/>
  <c r="M4" i="6" s="1"/>
  <c r="O11" i="6"/>
  <c r="P11" i="6" s="1"/>
  <c r="C41" i="11"/>
  <c r="E3" i="10"/>
  <c r="L8" i="20" s="1"/>
  <c r="C12" i="11"/>
  <c r="C9" i="6"/>
  <c r="D9" i="6" s="1"/>
  <c r="E66" i="9"/>
  <c r="L8" i="11" s="1"/>
  <c r="L37" i="11" s="1"/>
  <c r="E64" i="9"/>
  <c r="J8" i="11" s="1"/>
  <c r="J37" i="11" s="1"/>
  <c r="H42" i="11"/>
  <c r="C8" i="6"/>
  <c r="D8" i="6" s="1"/>
  <c r="K42" i="11"/>
  <c r="C11" i="6"/>
  <c r="D11" i="6" s="1"/>
  <c r="E63" i="9"/>
  <c r="I8" i="11" s="1"/>
  <c r="E65" i="9"/>
  <c r="K8" i="11" s="1"/>
  <c r="T5" i="6"/>
  <c r="B5" i="2" s="1"/>
  <c r="C28" i="11"/>
  <c r="AI12" i="26"/>
  <c r="T12" i="4"/>
  <c r="E12" i="2" s="1"/>
  <c r="O7" i="6"/>
  <c r="P7" i="6" s="1"/>
  <c r="E62" i="9"/>
  <c r="H8" i="11" s="1"/>
  <c r="T13" i="4"/>
  <c r="E13" i="2" s="1"/>
  <c r="C12" i="6"/>
  <c r="D12" i="6" s="1"/>
  <c r="C4" i="6"/>
  <c r="D4" i="6" s="1"/>
  <c r="L8" i="6"/>
  <c r="M8" i="6" s="1"/>
  <c r="C10" i="6"/>
  <c r="D10" i="6" s="1"/>
  <c r="T11" i="4"/>
  <c r="C6" i="6"/>
  <c r="D6" i="6" s="1"/>
  <c r="C7" i="6"/>
  <c r="D7" i="6" s="1"/>
  <c r="E61" i="9"/>
  <c r="G8" i="11" s="1"/>
  <c r="G37" i="11" s="1"/>
  <c r="E36" i="10"/>
  <c r="H57" i="9"/>
  <c r="G57" i="9"/>
  <c r="I57" i="9"/>
  <c r="E59" i="9"/>
  <c r="F57" i="9"/>
  <c r="E60" i="9"/>
  <c r="F8" i="11" s="1"/>
  <c r="H4" i="9"/>
  <c r="G4" i="9"/>
  <c r="E5" i="9"/>
  <c r="D7" i="20" s="1"/>
  <c r="E112" i="9"/>
  <c r="F25" i="9"/>
  <c r="G25" i="9"/>
  <c r="O12" i="6"/>
  <c r="P12" i="6" s="1"/>
  <c r="F13" i="6"/>
  <c r="G13" i="6" s="1"/>
  <c r="C11" i="11"/>
  <c r="D4" i="4"/>
  <c r="D103" i="14"/>
  <c r="S8" i="4"/>
  <c r="N14" i="4"/>
  <c r="D8" i="4"/>
  <c r="B13" i="2"/>
  <c r="C14" i="4"/>
  <c r="D5" i="4"/>
  <c r="Q11" i="6"/>
  <c r="T11" i="6" s="1"/>
  <c r="B11" i="2" s="1"/>
  <c r="T5" i="4"/>
  <c r="S5" i="4"/>
  <c r="H106" i="3"/>
  <c r="Q8" i="6"/>
  <c r="T8" i="6" s="1"/>
  <c r="B8" i="2" s="1"/>
  <c r="B7" i="2"/>
  <c r="Q10" i="6"/>
  <c r="B12" i="2"/>
  <c r="R10" i="4"/>
  <c r="S10" i="4" s="1"/>
  <c r="D10" i="4"/>
  <c r="R9" i="4"/>
  <c r="S9" i="4" s="1"/>
  <c r="D9" i="4"/>
  <c r="R12" i="4"/>
  <c r="S12" i="4" s="1"/>
  <c r="D12" i="4"/>
  <c r="R13" i="6"/>
  <c r="S13" i="6" s="1"/>
  <c r="Q9" i="6"/>
  <c r="T9" i="6" s="1"/>
  <c r="R11" i="6"/>
  <c r="R13" i="4"/>
  <c r="S13" i="4" s="1"/>
  <c r="D13" i="4"/>
  <c r="D17" i="20"/>
  <c r="L17" i="20"/>
  <c r="L22" i="20"/>
  <c r="R11" i="4"/>
  <c r="S11" i="4" s="1"/>
  <c r="D11" i="4"/>
  <c r="R12" i="6"/>
  <c r="S12" i="6" s="1"/>
  <c r="R7" i="4"/>
  <c r="S7" i="4" s="1"/>
  <c r="D7" i="4"/>
  <c r="B14" i="4"/>
  <c r="Q4" i="4"/>
  <c r="R6" i="4"/>
  <c r="S6" i="4" s="1"/>
  <c r="D6" i="4"/>
  <c r="R8" i="6"/>
  <c r="R9" i="6"/>
  <c r="R7" i="6"/>
  <c r="S7" i="6" s="1"/>
  <c r="T4" i="6"/>
  <c r="D64" i="14"/>
  <c r="D65" i="14"/>
  <c r="D61" i="14"/>
  <c r="D138" i="14"/>
  <c r="D134" i="14"/>
  <c r="D130" i="14"/>
  <c r="D33" i="14"/>
  <c r="I135" i="3"/>
  <c r="F135" i="3" s="1"/>
  <c r="L13" i="4"/>
  <c r="M13" i="4" s="1"/>
  <c r="D25" i="14"/>
  <c r="I127" i="3"/>
  <c r="F127" i="3" s="1"/>
  <c r="L5" i="4"/>
  <c r="M5" i="4" s="1"/>
  <c r="D31" i="14"/>
  <c r="L11" i="4"/>
  <c r="M11" i="4" s="1"/>
  <c r="I133" i="3"/>
  <c r="F133" i="3" s="1"/>
  <c r="D136" i="14"/>
  <c r="D59" i="14"/>
  <c r="D96" i="14"/>
  <c r="D135" i="14"/>
  <c r="D95" i="14"/>
  <c r="D63" i="14"/>
  <c r="D100" i="14"/>
  <c r="D132" i="14"/>
  <c r="D131" i="14"/>
  <c r="D99" i="14"/>
  <c r="D98" i="14"/>
  <c r="I134" i="3"/>
  <c r="F134" i="3" s="1"/>
  <c r="L12" i="4"/>
  <c r="M12" i="4" s="1"/>
  <c r="D32" i="14"/>
  <c r="D129" i="14"/>
  <c r="D67" i="14"/>
  <c r="I126" i="3"/>
  <c r="F126" i="3" s="1"/>
  <c r="L4" i="4"/>
  <c r="D24" i="14"/>
  <c r="D137" i="14"/>
  <c r="D133" i="14"/>
  <c r="D94" i="14"/>
  <c r="D60" i="14"/>
  <c r="D66" i="14"/>
  <c r="D62" i="14"/>
  <c r="D68" i="14"/>
  <c r="D101" i="14"/>
  <c r="D97" i="14"/>
  <c r="D102" i="14"/>
  <c r="H82" i="3"/>
  <c r="E82" i="3" s="1"/>
  <c r="I72" i="3"/>
  <c r="F72" i="3" s="1"/>
  <c r="H78" i="3"/>
  <c r="E78" i="3" s="1"/>
  <c r="I68" i="3"/>
  <c r="F68" i="3" s="1"/>
  <c r="I73" i="3"/>
  <c r="F73" i="3" s="1"/>
  <c r="H83" i="3"/>
  <c r="E83" i="3" s="1"/>
  <c r="I69" i="3"/>
  <c r="F69" i="3" s="1"/>
  <c r="H79" i="3"/>
  <c r="E79" i="3" s="1"/>
  <c r="H76" i="3"/>
  <c r="E76" i="3" s="1"/>
  <c r="I66" i="3"/>
  <c r="F66" i="3" s="1"/>
  <c r="H84" i="3"/>
  <c r="E84" i="3" s="1"/>
  <c r="I74" i="3"/>
  <c r="F74" i="3" s="1"/>
  <c r="H80" i="3"/>
  <c r="E80" i="3" s="1"/>
  <c r="I70" i="3"/>
  <c r="F70" i="3" s="1"/>
  <c r="H85" i="3"/>
  <c r="E85" i="3" s="1"/>
  <c r="I75" i="3"/>
  <c r="F75" i="3" s="1"/>
  <c r="H81" i="3"/>
  <c r="E81" i="3" s="1"/>
  <c r="I71" i="3"/>
  <c r="F71" i="3" s="1"/>
  <c r="H77" i="3"/>
  <c r="E77" i="3" s="1"/>
  <c r="I67" i="3"/>
  <c r="F67" i="3" s="1"/>
  <c r="D11" i="20" l="1"/>
  <c r="I106" i="3"/>
  <c r="E106" i="3"/>
  <c r="M14" i="6"/>
  <c r="E26" i="9"/>
  <c r="M15" i="6"/>
  <c r="F10" i="6"/>
  <c r="G10" i="6" s="1"/>
  <c r="F12" i="6"/>
  <c r="G12" i="6" s="1"/>
  <c r="F7" i="6"/>
  <c r="G7" i="6" s="1"/>
  <c r="E12" i="20"/>
  <c r="L14" i="6"/>
  <c r="H37" i="11"/>
  <c r="F8" i="6"/>
  <c r="G8" i="6" s="1"/>
  <c r="K37" i="11"/>
  <c r="F11" i="6"/>
  <c r="G11" i="6" s="1"/>
  <c r="M8" i="20"/>
  <c r="I37" i="11"/>
  <c r="F9" i="6"/>
  <c r="G9" i="6" s="1"/>
  <c r="F37" i="11"/>
  <c r="F6" i="6"/>
  <c r="G6" i="6" s="1"/>
  <c r="E8" i="11"/>
  <c r="E57" i="9"/>
  <c r="L11" i="20" s="1"/>
  <c r="E13" i="11"/>
  <c r="E34" i="10"/>
  <c r="L12" i="20" s="1"/>
  <c r="E4" i="9"/>
  <c r="L7" i="20" s="1"/>
  <c r="D7" i="11"/>
  <c r="H3" i="9"/>
  <c r="F3" i="9"/>
  <c r="G3" i="9"/>
  <c r="E5" i="2"/>
  <c r="S8" i="6"/>
  <c r="D4" i="20"/>
  <c r="S9" i="6"/>
  <c r="E11" i="2"/>
  <c r="S11" i="6"/>
  <c r="D15" i="4"/>
  <c r="M22" i="20"/>
  <c r="Q14" i="4"/>
  <c r="B4" i="2"/>
  <c r="R14" i="4"/>
  <c r="T10" i="6"/>
  <c r="S10" i="6"/>
  <c r="E4" i="2"/>
  <c r="S4" i="4"/>
  <c r="B9" i="2"/>
  <c r="D14" i="4"/>
  <c r="E17" i="20"/>
  <c r="D16" i="20"/>
  <c r="E16" i="20" s="1"/>
  <c r="Q6" i="6"/>
  <c r="L16" i="20"/>
  <c r="M16" i="20" s="1"/>
  <c r="M17" i="20"/>
  <c r="M4" i="4"/>
  <c r="H101" i="3"/>
  <c r="E101" i="3" s="1"/>
  <c r="I85" i="3"/>
  <c r="F85" i="3" s="1"/>
  <c r="O13" i="4"/>
  <c r="P13" i="4" s="1"/>
  <c r="I76" i="3"/>
  <c r="F76" i="3" s="1"/>
  <c r="O4" i="4"/>
  <c r="H103" i="3"/>
  <c r="E103" i="3" s="1"/>
  <c r="H97" i="3"/>
  <c r="E97" i="3" s="1"/>
  <c r="I81" i="3"/>
  <c r="F81" i="3" s="1"/>
  <c r="O9" i="4"/>
  <c r="P9" i="4" s="1"/>
  <c r="H104" i="3"/>
  <c r="E104" i="3" s="1"/>
  <c r="H99" i="3"/>
  <c r="E99" i="3" s="1"/>
  <c r="H102" i="3"/>
  <c r="E102" i="3" s="1"/>
  <c r="I77" i="3"/>
  <c r="F77" i="3" s="1"/>
  <c r="O5" i="4"/>
  <c r="P5" i="4" s="1"/>
  <c r="H100" i="3"/>
  <c r="E100" i="3" s="1"/>
  <c r="I84" i="3"/>
  <c r="F84" i="3" s="1"/>
  <c r="O12" i="4"/>
  <c r="P12" i="4" s="1"/>
  <c r="I83" i="3"/>
  <c r="F83" i="3" s="1"/>
  <c r="O11" i="4"/>
  <c r="P11" i="4" s="1"/>
  <c r="H98" i="3"/>
  <c r="E98" i="3" s="1"/>
  <c r="I82" i="3"/>
  <c r="F82" i="3" s="1"/>
  <c r="O10" i="4"/>
  <c r="P10" i="4" s="1"/>
  <c r="H105" i="3"/>
  <c r="E105" i="3" s="1"/>
  <c r="I80" i="3"/>
  <c r="F80" i="3" s="1"/>
  <c r="O8" i="4"/>
  <c r="P8" i="4" s="1"/>
  <c r="H96" i="3"/>
  <c r="E96" i="3" s="1"/>
  <c r="I79" i="3"/>
  <c r="F79" i="3" s="1"/>
  <c r="O7" i="4"/>
  <c r="P7" i="4" s="1"/>
  <c r="I78" i="3"/>
  <c r="F78" i="3" s="1"/>
  <c r="O6" i="4"/>
  <c r="P6" i="4" s="1"/>
  <c r="L4" i="20" l="1"/>
  <c r="F106" i="3"/>
  <c r="E25" i="9"/>
  <c r="L6" i="20" s="1"/>
  <c r="D6" i="20"/>
  <c r="D9" i="11"/>
  <c r="D38" i="11" s="1"/>
  <c r="C38" i="11" s="1"/>
  <c r="D5" i="20"/>
  <c r="E3" i="9"/>
  <c r="E11" i="20"/>
  <c r="E7" i="20"/>
  <c r="E42" i="11"/>
  <c r="C42" i="11" s="1"/>
  <c r="C13" i="11"/>
  <c r="C5" i="6"/>
  <c r="I78" i="9"/>
  <c r="I56" i="9" s="1"/>
  <c r="E37" i="11"/>
  <c r="C37" i="11" s="1"/>
  <c r="F5" i="6"/>
  <c r="G5" i="6" s="1"/>
  <c r="C8" i="11"/>
  <c r="C7" i="11"/>
  <c r="D36" i="11"/>
  <c r="F4" i="6"/>
  <c r="B10" i="2"/>
  <c r="T6" i="6"/>
  <c r="S6" i="6"/>
  <c r="Q14" i="6"/>
  <c r="S15" i="4"/>
  <c r="S14" i="4"/>
  <c r="R5" i="6"/>
  <c r="R4" i="6"/>
  <c r="I5" i="4"/>
  <c r="I97" i="3"/>
  <c r="F97" i="3" s="1"/>
  <c r="O14" i="4"/>
  <c r="P4" i="4"/>
  <c r="I9" i="4"/>
  <c r="I101" i="3"/>
  <c r="F101" i="3" s="1"/>
  <c r="I100" i="3"/>
  <c r="F100" i="3" s="1"/>
  <c r="I8" i="4"/>
  <c r="I7" i="4"/>
  <c r="I99" i="3"/>
  <c r="F99" i="3" s="1"/>
  <c r="D21" i="20"/>
  <c r="E21" i="20" s="1"/>
  <c r="L21" i="20"/>
  <c r="M21" i="20" s="1"/>
  <c r="I10" i="4"/>
  <c r="I102" i="3"/>
  <c r="F102" i="3" s="1"/>
  <c r="I104" i="3"/>
  <c r="F104" i="3" s="1"/>
  <c r="I12" i="4"/>
  <c r="I96" i="3"/>
  <c r="F96" i="3" s="1"/>
  <c r="I4" i="4"/>
  <c r="I13" i="4"/>
  <c r="I105" i="3"/>
  <c r="F105" i="3" s="1"/>
  <c r="I6" i="4"/>
  <c r="I98" i="3"/>
  <c r="F98" i="3" s="1"/>
  <c r="I11" i="4"/>
  <c r="I103" i="3"/>
  <c r="F103" i="3" s="1"/>
  <c r="C9" i="11" l="1"/>
  <c r="D15" i="11"/>
  <c r="I4" i="6"/>
  <c r="J4" i="6" s="1"/>
  <c r="L5" i="20"/>
  <c r="E6" i="20"/>
  <c r="E88" i="9"/>
  <c r="M10" i="11" s="1"/>
  <c r="M39" i="11" s="1"/>
  <c r="M44" i="11" s="1"/>
  <c r="E5" i="20"/>
  <c r="M11" i="20"/>
  <c r="M7" i="20"/>
  <c r="E83" i="9"/>
  <c r="H10" i="11" s="1"/>
  <c r="E85" i="9"/>
  <c r="J10" i="11" s="1"/>
  <c r="E87" i="9"/>
  <c r="L10" i="11" s="1"/>
  <c r="E86" i="9"/>
  <c r="K10" i="11" s="1"/>
  <c r="M6" i="20"/>
  <c r="E84" i="9"/>
  <c r="I10" i="11" s="1"/>
  <c r="M12" i="20"/>
  <c r="L20" i="20"/>
  <c r="E82" i="9"/>
  <c r="G10" i="11" s="1"/>
  <c r="G39" i="11" s="1"/>
  <c r="G44" i="11" s="1"/>
  <c r="E81" i="9"/>
  <c r="F10" i="11" s="1"/>
  <c r="I6" i="6" s="1"/>
  <c r="D5" i="6"/>
  <c r="C14" i="6"/>
  <c r="H78" i="9"/>
  <c r="E80" i="9"/>
  <c r="G78" i="9"/>
  <c r="G4" i="6"/>
  <c r="F14" i="6"/>
  <c r="C36" i="11"/>
  <c r="S4" i="6"/>
  <c r="R14" i="6"/>
  <c r="E4" i="20"/>
  <c r="B6" i="2"/>
  <c r="T14" i="6"/>
  <c r="S5" i="6"/>
  <c r="M4" i="20"/>
  <c r="J10" i="4"/>
  <c r="P15" i="4"/>
  <c r="P14" i="4"/>
  <c r="J11" i="4"/>
  <c r="U11" i="4"/>
  <c r="J13" i="4"/>
  <c r="U13" i="4"/>
  <c r="J12" i="4"/>
  <c r="U12" i="4"/>
  <c r="J4" i="4"/>
  <c r="U4" i="4"/>
  <c r="I14" i="4"/>
  <c r="J7" i="4"/>
  <c r="J9" i="4"/>
  <c r="J6" i="4"/>
  <c r="D20" i="20"/>
  <c r="J8" i="4"/>
  <c r="J5" i="4"/>
  <c r="U5" i="4"/>
  <c r="I13" i="6" l="1"/>
  <c r="J13" i="6" s="1"/>
  <c r="M15" i="11"/>
  <c r="M5" i="20"/>
  <c r="L39" i="11"/>
  <c r="L44" i="11" s="1"/>
  <c r="I12" i="6"/>
  <c r="L15" i="11"/>
  <c r="J39" i="11"/>
  <c r="J44" i="11" s="1"/>
  <c r="I10" i="6"/>
  <c r="J15" i="11"/>
  <c r="I39" i="11"/>
  <c r="I44" i="11" s="1"/>
  <c r="I9" i="6"/>
  <c r="I15" i="11"/>
  <c r="K39" i="11"/>
  <c r="K44" i="11" s="1"/>
  <c r="I11" i="6"/>
  <c r="K15" i="11"/>
  <c r="H39" i="11"/>
  <c r="H44" i="11" s="1"/>
  <c r="H15" i="11"/>
  <c r="I8" i="6"/>
  <c r="G15" i="11"/>
  <c r="I7" i="6"/>
  <c r="J7" i="6" s="1"/>
  <c r="F39" i="11"/>
  <c r="F44" i="11" s="1"/>
  <c r="F15" i="11"/>
  <c r="G56" i="9"/>
  <c r="H56" i="9"/>
  <c r="J6" i="6"/>
  <c r="U6" i="6"/>
  <c r="D14" i="6"/>
  <c r="D15" i="6"/>
  <c r="G15" i="6"/>
  <c r="G14" i="6"/>
  <c r="B14" i="2"/>
  <c r="S15" i="6"/>
  <c r="S14" i="6"/>
  <c r="V4" i="4"/>
  <c r="V13" i="4"/>
  <c r="J14" i="4"/>
  <c r="J15" i="4"/>
  <c r="V5" i="4"/>
  <c r="E20" i="20"/>
  <c r="V12" i="4"/>
  <c r="V11" i="4"/>
  <c r="M20" i="20"/>
  <c r="U13" i="6" l="1"/>
  <c r="F13" i="2" s="1"/>
  <c r="G13" i="2" s="1"/>
  <c r="J13" i="2" s="1"/>
  <c r="J10" i="6"/>
  <c r="U10" i="6"/>
  <c r="J9" i="6"/>
  <c r="U9" i="6"/>
  <c r="J8" i="6"/>
  <c r="U8" i="6"/>
  <c r="J12" i="6"/>
  <c r="U12" i="6"/>
  <c r="J11" i="6"/>
  <c r="U11" i="6"/>
  <c r="U7" i="6"/>
  <c r="C6" i="2"/>
  <c r="D6" i="2" s="1"/>
  <c r="I6" i="2" s="1"/>
  <c r="V6" i="6"/>
  <c r="C13" i="2" l="1"/>
  <c r="D13" i="2" s="1"/>
  <c r="I13" i="2" s="1"/>
  <c r="V13" i="6"/>
  <c r="C10" i="2"/>
  <c r="D10" i="2" s="1"/>
  <c r="I10" i="2" s="1"/>
  <c r="V10" i="6"/>
  <c r="V12" i="6"/>
  <c r="C12" i="2"/>
  <c r="D12" i="2" s="1"/>
  <c r="I12" i="2" s="1"/>
  <c r="F12" i="2"/>
  <c r="G12" i="2" s="1"/>
  <c r="J12" i="2" s="1"/>
  <c r="V9" i="6"/>
  <c r="C9" i="2"/>
  <c r="D9" i="2" s="1"/>
  <c r="I9" i="2" s="1"/>
  <c r="C11" i="2"/>
  <c r="D11" i="2" s="1"/>
  <c r="I11" i="2" s="1"/>
  <c r="V11" i="6"/>
  <c r="F11" i="2"/>
  <c r="G11" i="2" s="1"/>
  <c r="J11" i="2" s="1"/>
  <c r="C8" i="2"/>
  <c r="D8" i="2" s="1"/>
  <c r="I8" i="2" s="1"/>
  <c r="V8" i="6"/>
  <c r="C7" i="2"/>
  <c r="D7" i="2" s="1"/>
  <c r="I7" i="2" s="1"/>
  <c r="V7" i="6"/>
  <c r="F78" i="9" l="1"/>
  <c r="E110" i="9"/>
  <c r="D10" i="20" s="1"/>
  <c r="E78" i="9" l="1"/>
  <c r="L10" i="20" s="1"/>
  <c r="E10" i="11"/>
  <c r="E15" i="11" s="1"/>
  <c r="F56" i="9"/>
  <c r="I5" i="6" l="1"/>
  <c r="I14" i="6" s="1"/>
  <c r="E39" i="11"/>
  <c r="C39" i="11" s="1"/>
  <c r="C10" i="11"/>
  <c r="D9" i="20"/>
  <c r="E9" i="20" s="1"/>
  <c r="E10" i="20"/>
  <c r="E56" i="9"/>
  <c r="E44" i="11" l="1"/>
  <c r="J5" i="6"/>
  <c r="J14" i="6" s="1"/>
  <c r="L9" i="20"/>
  <c r="M10" i="20"/>
  <c r="G129" i="9" l="1"/>
  <c r="E140" i="9"/>
  <c r="E131" i="9"/>
  <c r="H129" i="9"/>
  <c r="I129" i="9"/>
  <c r="E141" i="9"/>
  <c r="F129" i="9"/>
  <c r="E130" i="9"/>
  <c r="J15" i="6"/>
  <c r="M9" i="20"/>
  <c r="D13" i="20" l="1"/>
  <c r="E14" i="11"/>
  <c r="E43" i="11" s="1"/>
  <c r="D14" i="11"/>
  <c r="E129" i="9"/>
  <c r="L13" i="20" s="1"/>
  <c r="AS30" i="19" l="1"/>
  <c r="O5" i="6"/>
  <c r="U5" i="6" s="1"/>
  <c r="E13" i="20"/>
  <c r="C14" i="11"/>
  <c r="C15" i="11" s="1"/>
  <c r="O4" i="6"/>
  <c r="D43" i="11"/>
  <c r="P5" i="6" l="1"/>
  <c r="M13" i="20"/>
  <c r="C43" i="11"/>
  <c r="D44" i="11"/>
  <c r="C44" i="11" s="1"/>
  <c r="V5" i="6"/>
  <c r="F5" i="2"/>
  <c r="G5" i="2" s="1"/>
  <c r="J5" i="2" s="1"/>
  <c r="C5" i="2"/>
  <c r="P4" i="6"/>
  <c r="O14" i="6"/>
  <c r="U4" i="6"/>
  <c r="G132" i="3"/>
  <c r="G129" i="3"/>
  <c r="D129" i="3" s="1"/>
  <c r="K7" i="4"/>
  <c r="G131" i="3"/>
  <c r="G130" i="3"/>
  <c r="D130" i="3" s="1"/>
  <c r="G128" i="3"/>
  <c r="D128" i="3" l="1"/>
  <c r="K6" i="4" s="1"/>
  <c r="T6" i="4" s="1"/>
  <c r="D131" i="3"/>
  <c r="K9" i="4" s="1"/>
  <c r="T9" i="4" s="1"/>
  <c r="D132" i="3"/>
  <c r="K10" i="4" s="1"/>
  <c r="T10" i="4" s="1"/>
  <c r="F4" i="2"/>
  <c r="G4" i="2" s="1"/>
  <c r="J4" i="2" s="1"/>
  <c r="K4" i="2" s="1"/>
  <c r="L4" i="2" s="1"/>
  <c r="V4" i="6"/>
  <c r="V14" i="6" s="1"/>
  <c r="C4" i="2"/>
  <c r="D4" i="2" s="1"/>
  <c r="U14" i="6"/>
  <c r="P15" i="6"/>
  <c r="P14" i="6"/>
  <c r="D5" i="2"/>
  <c r="K8" i="4"/>
  <c r="T7" i="4"/>
  <c r="K14" i="4" l="1"/>
  <c r="C14" i="2"/>
  <c r="I4" i="2"/>
  <c r="D14" i="2"/>
  <c r="K5" i="2"/>
  <c r="L5" i="2" s="1"/>
  <c r="J18" i="2"/>
  <c r="I5" i="2"/>
  <c r="V15" i="6"/>
  <c r="T8" i="4"/>
  <c r="T14" i="4" s="1"/>
  <c r="E10" i="2"/>
  <c r="E9" i="2"/>
  <c r="E6" i="2"/>
  <c r="E7" i="2"/>
  <c r="I14" i="2" l="1"/>
  <c r="J21" i="2" s="1"/>
  <c r="E8" i="2"/>
  <c r="E14" i="2" s="1"/>
  <c r="I59" i="3"/>
  <c r="F59" i="3" s="1"/>
  <c r="H130" i="3"/>
  <c r="E130" i="3" s="1"/>
  <c r="I60" i="3"/>
  <c r="F60" i="3" s="1"/>
  <c r="H131" i="3"/>
  <c r="E131" i="3" s="1"/>
  <c r="I61" i="3"/>
  <c r="F61" i="3" s="1"/>
  <c r="H132" i="3"/>
  <c r="E132" i="3" s="1"/>
  <c r="I58" i="3"/>
  <c r="F58" i="3" s="1"/>
  <c r="H129" i="3"/>
  <c r="E129" i="3" s="1"/>
  <c r="I57" i="3"/>
  <c r="F57" i="3" s="1"/>
  <c r="H128" i="3"/>
  <c r="E128" i="3" s="1"/>
  <c r="L8" i="4" l="1"/>
  <c r="U8" i="4" s="1"/>
  <c r="F8" i="2" s="1"/>
  <c r="G8" i="2" s="1"/>
  <c r="J8" i="2" s="1"/>
  <c r="D26" i="14"/>
  <c r="D27" i="14"/>
  <c r="I132" i="3"/>
  <c r="F132" i="3" s="1"/>
  <c r="L10" i="4"/>
  <c r="M10" i="4" s="1"/>
  <c r="I131" i="3"/>
  <c r="F131" i="3" s="1"/>
  <c r="D28" i="14"/>
  <c r="I130" i="3"/>
  <c r="F130" i="3" s="1"/>
  <c r="L6" i="4"/>
  <c r="I128" i="3"/>
  <c r="F128" i="3" s="1"/>
  <c r="L7" i="4"/>
  <c r="D30" i="14"/>
  <c r="I129" i="3"/>
  <c r="F129" i="3" s="1"/>
  <c r="L9" i="4"/>
  <c r="D29" i="14"/>
  <c r="M8" i="4" l="1"/>
  <c r="U10" i="4"/>
  <c r="F10" i="2" s="1"/>
  <c r="G10" i="2" s="1"/>
  <c r="J10" i="2" s="1"/>
  <c r="D23" i="20"/>
  <c r="E23" i="20" s="1"/>
  <c r="L14" i="4"/>
  <c r="V8" i="4"/>
  <c r="M6" i="4"/>
  <c r="U6" i="4"/>
  <c r="M9" i="4"/>
  <c r="U9" i="4"/>
  <c r="L23" i="20"/>
  <c r="M7" i="4"/>
  <c r="U7" i="4"/>
  <c r="V10" i="4" l="1"/>
  <c r="D19" i="20"/>
  <c r="E19" i="20" s="1"/>
  <c r="F6" i="2"/>
  <c r="G6" i="2" s="1"/>
  <c r="J6" i="2" s="1"/>
  <c r="V6" i="4"/>
  <c r="L19" i="20"/>
  <c r="M23" i="20"/>
  <c r="F7" i="2"/>
  <c r="V7" i="4"/>
  <c r="U14" i="4"/>
  <c r="F9" i="2"/>
  <c r="G9" i="2" s="1"/>
  <c r="J9" i="2" s="1"/>
  <c r="V9" i="4"/>
  <c r="M14" i="4"/>
  <c r="M15" i="4"/>
  <c r="D15" i="20" l="1"/>
  <c r="E15" i="20" s="1"/>
  <c r="K6" i="2"/>
  <c r="L6" i="2" s="1"/>
  <c r="V15" i="4"/>
  <c r="J17" i="2" s="1"/>
  <c r="B2" i="7" s="1"/>
  <c r="V14" i="4"/>
  <c r="G7" i="2"/>
  <c r="F14" i="2"/>
  <c r="L15" i="20"/>
  <c r="M15" i="20" s="1"/>
  <c r="M19" i="20"/>
  <c r="F7" i="7" l="1"/>
  <c r="C42" i="7"/>
  <c r="C26" i="7"/>
  <c r="C7" i="7"/>
  <c r="L7" i="7"/>
  <c r="R7" i="7"/>
  <c r="O7" i="7"/>
  <c r="I7" i="7"/>
  <c r="J7" i="2"/>
  <c r="G14" i="2"/>
  <c r="J19" i="2"/>
  <c r="K7" i="2" l="1"/>
  <c r="J14" i="2"/>
  <c r="J22" i="2" s="1"/>
  <c r="K8" i="2" l="1"/>
  <c r="K9" i="2" s="1"/>
  <c r="K10" i="2" s="1"/>
  <c r="K11" i="2" s="1"/>
  <c r="K12" i="2" s="1"/>
  <c r="K13" i="2" s="1"/>
  <c r="L7" i="2"/>
  <c r="L8" i="2" l="1"/>
  <c r="L9" i="2" s="1"/>
  <c r="L10" i="2" s="1"/>
  <c r="L11" i="2" s="1"/>
  <c r="L12" i="2" s="1"/>
  <c r="L13" i="2" s="1"/>
  <c r="I150" i="9"/>
  <c r="H150" i="9"/>
  <c r="F150" i="9"/>
  <c r="L14" i="20" s="1"/>
  <c r="D14" i="20"/>
  <c r="G150" i="9"/>
  <c r="E14" i="20" l="1"/>
  <c r="M14" i="20"/>
  <c r="L3" i="20"/>
  <c r="M3" i="20" s="1"/>
  <c r="D3" i="20"/>
  <c r="E3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KPMG</author>
  </authors>
  <commentList>
    <comment ref="I14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ocakavame zapornu hodnotu
tato zaporna hodnota ma zodpovedat max. fin. pomoci z SF</t>
        </r>
      </text>
    </comment>
    <comment ref="J14" authorId="0" shapeId="0" xr:uid="{00000000-0006-0000-0300-000002000000}">
      <text>
        <r>
          <rPr>
            <sz val="8"/>
            <color indexed="81"/>
            <rFont val="Tahoma"/>
            <family val="2"/>
            <charset val="238"/>
          </rPr>
          <t>ocakavame kladnu hodnotu (moze byt aj nizko nad nulou)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T30" authorId="0" shapeId="0" xr:uid="{00000000-0006-0000-0D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Krok Martin</author>
  </authors>
  <commentList>
    <comment ref="AG12" authorId="0" shapeId="0" xr:uid="{00000000-0006-0000-1000-000001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H12" authorId="0" shapeId="0" xr:uid="{00000000-0006-0000-1000-000002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I12" authorId="0" shapeId="0" xr:uid="{00000000-0006-0000-1000-000003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  <comment ref="AP12" authorId="0" shapeId="0" xr:uid="{00000000-0006-0000-1000-000004000000}">
      <text>
        <r>
          <rPr>
            <b/>
            <sz val="9"/>
            <color indexed="81"/>
            <rFont val="Segoe UI"/>
            <family val="2"/>
            <charset val="238"/>
          </rPr>
          <t>Krok Martin:</t>
        </r>
        <r>
          <rPr>
            <sz val="9"/>
            <color indexed="81"/>
            <rFont val="Segoe UI"/>
            <family val="2"/>
            <charset val="238"/>
          </rPr>
          <t xml:space="preserve">
Súčet by mal zodpoveď Investičným nákladom na vývoj aplikácií
 v Alternatíve 2</t>
        </r>
      </text>
    </comment>
  </commentList>
</comments>
</file>

<file path=xl/sharedStrings.xml><?xml version="1.0" encoding="utf-8"?>
<sst xmlns="http://schemas.openxmlformats.org/spreadsheetml/2006/main" count="1575" uniqueCount="418">
  <si>
    <t>Názov</t>
  </si>
  <si>
    <t>Popis</t>
  </si>
  <si>
    <t>Hodnota</t>
  </si>
  <si>
    <t>Životnosť projektu (t)</t>
  </si>
  <si>
    <t>Referenčné obdobie je počet rokov, na ktorý sa vo finančnej analýze (analýze nákladov a výnosov) uvádzajú predpovede. Predpovede týkajúce sa budúceho trendu projektu by sa mali formulovať na obdobie, ktoré je primerané jeho ekonomicky užitočnému trvaniu a ktoré je dosť dlhé na to, aby zahŕňalo jeho pravdepodobné dlhodobejšie dosahy. Ide o časové obdobie, kedy je možné overiť úspešnosť investície. Trvanie sa mení podľa povahy investície. Referenčný časový horizont v rokoch podľa sektorov je uvedený podľa prílohy 1 Delegovaného nariadenia Komisie (EÚ) 480/2014 z 3. marca 2014, ktorým sa dopĺňa všeobecné nariadenie.</t>
  </si>
  <si>
    <t>Referenčná diskontná sadzba (i)</t>
  </si>
  <si>
    <t>Sociálna diskontná sadzba (r)</t>
  </si>
  <si>
    <t>Cieľom CBA je preukázať pri štrukturálne významných investíciách, že ekonomická čistá súčasná hodnota za dané obdobie a pri stanovenej sociálnej diskontnej sadzbe je kladná.</t>
  </si>
  <si>
    <t>Diskontovanie odhadovaných nákladov a prínosov: keď sa odhadne tok ekonomických nákladov a prínosov, mala by sa uplatniť štandardná diskontovaná metodika peňažného toku pomocou sociálnej diskontnej sadzby</t>
  </si>
  <si>
    <t>Osobné náklady (Cper)</t>
  </si>
  <si>
    <t>Jednotka</t>
  </si>
  <si>
    <t>rok</t>
  </si>
  <si>
    <t>%</t>
  </si>
  <si>
    <t>EUR</t>
  </si>
  <si>
    <t xml:space="preserve">Diskontná sadzba, ktorá sa má používať vo finančnej analýze má informovať investora o alternatívnych kapitálových nákladoch. Môže sa za ňu považovať ušlý výnos najlepšieho alternatívneho projektu.
V prípade verejných investičných projektov spolufinancovaných z fondov sa stanovuje 4 % finančná diskontná sadzbu pre výpočet čistej súčasnej hodnoty investície v stálych cenách roku predloženia žiadosti o NFP.
</t>
  </si>
  <si>
    <t>EUR/hod</t>
  </si>
  <si>
    <t>Čistá súčasná hodnota z projektu</t>
  </si>
  <si>
    <t>Finančné prínosy</t>
  </si>
  <si>
    <t>Ekonomické prínosy</t>
  </si>
  <si>
    <t>koeficient obdobia</t>
  </si>
  <si>
    <t>Finančná (FNPV)</t>
  </si>
  <si>
    <t>Ekonomická (ENPV)</t>
  </si>
  <si>
    <t>Kumulovaná diskont. návratnosť ENPV</t>
  </si>
  <si>
    <t>Obdobie</t>
  </si>
  <si>
    <t>rozdiel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</si>
  <si>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</si>
  <si>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</si>
  <si>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</si>
  <si>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</si>
  <si>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</si>
  <si>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</si>
  <si>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</si>
  <si>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</si>
  <si>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</si>
  <si>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</si>
  <si>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SPOLU</t>
  </si>
  <si>
    <t>Cashflow projektu</t>
  </si>
  <si>
    <t>počet / rok</t>
  </si>
  <si>
    <t>hod.</t>
  </si>
  <si>
    <t>Kvalitatívne prínosy</t>
  </si>
  <si>
    <t>Parameter</t>
  </si>
  <si>
    <t>Počet podaní</t>
  </si>
  <si>
    <t>Výška administratívneho poplatku</t>
  </si>
  <si>
    <t>Počet zamestnancov vybavujúcich agendu</t>
  </si>
  <si>
    <t>Priame prínosy</t>
  </si>
  <si>
    <t>Nepriame prínosy</t>
  </si>
  <si>
    <t>Prínosy spolu</t>
  </si>
  <si>
    <t>Administratívne poplatky</t>
  </si>
  <si>
    <t>Ostatné daňové a nedaňové príjmy</t>
  </si>
  <si>
    <t>Cena ušetreného času používateľa</t>
  </si>
  <si>
    <t>Kvalitatívne prínosy vo finančnom vyjadrení</t>
  </si>
  <si>
    <t>Organizácia</t>
  </si>
  <si>
    <t>Ulica</t>
  </si>
  <si>
    <t>PSČ</t>
  </si>
  <si>
    <t>Web</t>
  </si>
  <si>
    <t>IČO</t>
  </si>
  <si>
    <t>Spracovateľ</t>
  </si>
  <si>
    <t xml:space="preserve">    Titul, Meno, Priezvisko</t>
  </si>
  <si>
    <t xml:space="preserve">Kontakt na spracovateľa    </t>
  </si>
  <si>
    <t xml:space="preserve">    Email, telefón</t>
  </si>
  <si>
    <t>Hlavička tabuľky</t>
  </si>
  <si>
    <t>Popisná informácia</t>
  </si>
  <si>
    <t>Metodický pokyn k vypracovaniu finančnej analýzy projektu, analýzy nákladov a prínosov projektu a finančnej analýzy žiadateľa o NFP v programovom období 2014 – 2020.</t>
  </si>
  <si>
    <t>Jednotlivé informácie sú farebne odlíšené nasledovne:</t>
  </si>
  <si>
    <t>Automaticky vypočitavané hodnoty</t>
  </si>
  <si>
    <t>Miesto na vpisovanie vlastných hodnôt</t>
  </si>
  <si>
    <t>Preddefinované konštanty</t>
  </si>
  <si>
    <t>Pre projekty zamerané na služby agendových informačných systémov</t>
  </si>
  <si>
    <t>HW</t>
  </si>
  <si>
    <t>SW</t>
  </si>
  <si>
    <t>Všeobecný materiál</t>
  </si>
  <si>
    <t>Variabilné výdavky</t>
  </si>
  <si>
    <t>Výdavky spolu</t>
  </si>
  <si>
    <t>ENPV</t>
  </si>
  <si>
    <t>Obstaranie, inštalácia SW produktu vrátane licencie k SW</t>
  </si>
  <si>
    <t>013 Softvér</t>
  </si>
  <si>
    <t>Kód EKO klasifikácie</t>
  </si>
  <si>
    <t>Účet/skupina výdavkov</t>
  </si>
  <si>
    <t>Vytvorenie aplikácie</t>
  </si>
  <si>
    <t>Školenia spojené so SW a aplikáciou</t>
  </si>
  <si>
    <t>518 Ostatné služby</t>
  </si>
  <si>
    <t>Prevádzka vytvoreného riešenia</t>
  </si>
  <si>
    <t>Poplatky vlastníkovi SW produktu - údržba / support k licenciám</t>
  </si>
  <si>
    <t>511 Opravy a udržiavanie</t>
  </si>
  <si>
    <t>Upgrade SW produktu</t>
  </si>
  <si>
    <t>Poplatky za udržanie funkčnosti / dostupnosti aplikácie / update</t>
  </si>
  <si>
    <t>Aplikačná podpora / helpdesk</t>
  </si>
  <si>
    <t>Rozvoj - doplnenie funkcionality aplikácie / upgrade</t>
  </si>
  <si>
    <t>Personálne náklady spojené s prevádzkou SW produktu a aplikácie</t>
  </si>
  <si>
    <t>521 Mzdové výdavky</t>
  </si>
  <si>
    <t>Obstaranie</t>
  </si>
  <si>
    <t>Prevádzka riešenia</t>
  </si>
  <si>
    <t>Nákup, inštalácia a sprevádzkovanie HW 
vrátane systémového SW</t>
  </si>
  <si>
    <t>Nákup, inštalácia a sprevádzkovanie HW
 vrátane systémového SW</t>
  </si>
  <si>
    <t>Školenia spojené s HW</t>
  </si>
  <si>
    <t>022 Samostatné hnuteľné veci
 a súbory hnuteľných vecí</t>
  </si>
  <si>
    <t>Poplatky dodávateľovi podpory HW - údržba/maintenance</t>
  </si>
  <si>
    <t>Upgrade HW</t>
  </si>
  <si>
    <t>Náklady na priestory, energie</t>
  </si>
  <si>
    <t>Personálne náklady spojené s prevádzkou HW</t>
  </si>
  <si>
    <t>Náklady na obstaranie a prevádzku HW</t>
  </si>
  <si>
    <t>Náklady na obstaranie a prevádzku SW</t>
  </si>
  <si>
    <t>Celkové náklady na vlastníctvo (TCO)</t>
  </si>
  <si>
    <t>Rok</t>
  </si>
  <si>
    <t>HW sumár obstaranie</t>
  </si>
  <si>
    <t>HW sumár prevádzka</t>
  </si>
  <si>
    <t xml:space="preserve">Spolu </t>
  </si>
  <si>
    <t>Spolu</t>
  </si>
  <si>
    <t>SW produkty</t>
  </si>
  <si>
    <t>Aplikácie</t>
  </si>
  <si>
    <t>SW produkty - sumár obstaranie</t>
  </si>
  <si>
    <t>SW produkty - sumár prevádzka</t>
  </si>
  <si>
    <t>Aplikácie - sumár obstaranie</t>
  </si>
  <si>
    <t>Aplikácie - sumár prevádzka</t>
  </si>
  <si>
    <t xml:space="preserve">Prvý rok, ktorým výpočet CBA a TCO začína, rok začatia projektu </t>
  </si>
  <si>
    <t>Príloha pre výpočet TCO a čistej súčasnej hodnoty z projektu</t>
  </si>
  <si>
    <t>Názov riešenia</t>
  </si>
  <si>
    <t>112 Zásoby</t>
  </si>
  <si>
    <t>Náklady na existujúce riešenie
(pôvodné riešenie pred realizáciou projektu OP II), ktoré bolo nahradené</t>
  </si>
  <si>
    <t>Kód ISVS z MetaIS</t>
  </si>
  <si>
    <t>Číslo projektu ITMS</t>
  </si>
  <si>
    <t>Vytvorenie riešenia - obstaranie</t>
  </si>
  <si>
    <t>BCR</t>
  </si>
  <si>
    <t>Výstup/funkcionalita projektu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</si>
  <si>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</si>
  <si>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</si>
  <si>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</si>
  <si>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</si>
  <si>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</si>
  <si>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</si>
  <si>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</si>
  <si>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</si>
  <si>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</si>
  <si>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</si>
  <si>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</si>
  <si>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</si>
  <si>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</si>
  <si>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</si>
  <si>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</si>
  <si>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</si>
  <si>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</si>
  <si>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</si>
  <si>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</si>
  <si>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</si>
  <si>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</si>
  <si>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</si>
  <si>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M24</t>
  </si>
  <si>
    <t>Počet dní interné</t>
  </si>
  <si>
    <t>Počet dní externé</t>
  </si>
  <si>
    <t>Pocet FTE interne</t>
  </si>
  <si>
    <t>Pocet FTE externe</t>
  </si>
  <si>
    <t>Rate FTE interné</t>
  </si>
  <si>
    <t>Rate FTE externé</t>
  </si>
  <si>
    <t>Suma interné</t>
  </si>
  <si>
    <t>Suma externé</t>
  </si>
  <si>
    <t>Publicita a informovanosť</t>
  </si>
  <si>
    <t xml:space="preserve">Projektové riadenie </t>
  </si>
  <si>
    <t>INDIKATÍVNY ROZPOČET SPOLU</t>
  </si>
  <si>
    <t>Rozdiel</t>
  </si>
  <si>
    <t>NPV</t>
  </si>
  <si>
    <t>HW (aj systémový SW) sumár obstaranie</t>
  </si>
  <si>
    <t>HW (aj systémový SW) sumár prevádzka</t>
  </si>
  <si>
    <t>Modul 2</t>
  </si>
  <si>
    <t>Modul 3</t>
  </si>
  <si>
    <t>Modul 4</t>
  </si>
  <si>
    <t>Modul N</t>
  </si>
  <si>
    <t>organizácia A</t>
  </si>
  <si>
    <t>organizácia B</t>
  </si>
  <si>
    <t>organizácia C</t>
  </si>
  <si>
    <t>TO BE</t>
  </si>
  <si>
    <t>organizácia ...</t>
  </si>
  <si>
    <t>Výsledná hodnota</t>
  </si>
  <si>
    <t>Všetky prínosové položky sú automaticky vypočítané na základe údajov uvedených v záložkách TCO, spotrebované cloudové služby a Parametre - Agendové IS</t>
  </si>
  <si>
    <t>Všetky výdavkové položky sú automaticky vypočítané na základe údajov uvedených v záložkách TCO a Parametre - Agendové IS</t>
  </si>
  <si>
    <t>FIRR</t>
  </si>
  <si>
    <t>EIRR</t>
  </si>
  <si>
    <t>FNPV</t>
  </si>
  <si>
    <t>pomer prínosov a nákladov</t>
  </si>
  <si>
    <t>finančná vnútorná výnosová miera (%)</t>
  </si>
  <si>
    <t>ekonomická vnútorná výnosová miera (%)</t>
  </si>
  <si>
    <t>Minimálna hodnota</t>
  </si>
  <si>
    <t>-</t>
  </si>
  <si>
    <t>Výsledok CBA</t>
  </si>
  <si>
    <t>Priemerná mzda vo verejnej správe (aktuálna, W_ps)</t>
  </si>
  <si>
    <t xml:space="preserve">Priemerná mzda v NH (Cperc) </t>
  </si>
  <si>
    <t>Náklady IT systém</t>
  </si>
  <si>
    <t>FTE úradník</t>
  </si>
  <si>
    <t>FTE</t>
  </si>
  <si>
    <t>Administrtívny poplatok</t>
  </si>
  <si>
    <t>človeko-hod.</t>
  </si>
  <si>
    <t>Cena ušetreného času používateľa
(S pravidlom polovice)</t>
  </si>
  <si>
    <t>Cena ušetreného času úradníka</t>
  </si>
  <si>
    <r>
      <t xml:space="preserve">Materiálové náklady na 1 podanie </t>
    </r>
    <r>
      <rPr>
        <i/>
        <sz val="11"/>
        <color theme="1"/>
        <rFont val="Calibri"/>
        <family val="2"/>
        <charset val="238"/>
        <scheme val="minor"/>
      </rPr>
      <t xml:space="preserve">(napr. Poštovné (0,83 EUR)+Tlač (0,02 EUR)+Papier (0,01 EUR)+Obálka (0,03 EUR). Zhotoviteľ štúdie doplní skutočné náklady)
</t>
    </r>
  </si>
  <si>
    <t>Materiálové náklady</t>
  </si>
  <si>
    <t>Náklady na budúce riešenie</t>
  </si>
  <si>
    <t>Zníženie kvalitatívnych prínosov</t>
  </si>
  <si>
    <t>Zníženie očakávaného ušetreného času úradníka</t>
  </si>
  <si>
    <t>Zníženie očakávaného ušetreného času používateľa</t>
  </si>
  <si>
    <t>Zníženie počtu podaní v budúcom stave</t>
  </si>
  <si>
    <t>Zvýšenie nákladov - TCO celkovo</t>
  </si>
  <si>
    <t>Zvýšenie CAPEX</t>
  </si>
  <si>
    <t>Minimálny počet MD</t>
  </si>
  <si>
    <t>Maximálny počet MD</t>
  </si>
  <si>
    <t>Priemerný MD rate</t>
  </si>
  <si>
    <t xml:space="preserve">Modul 1 </t>
  </si>
  <si>
    <t>Maximálna suma</t>
  </si>
  <si>
    <t>Minimálna suma</t>
  </si>
  <si>
    <t>Vyplní oslovený dodávateľ</t>
  </si>
  <si>
    <t>Ročná prevádzka celého systému (SLA) vrátane zmenových konaní</t>
  </si>
  <si>
    <t>Vyplní spracovateľ projektu</t>
  </si>
  <si>
    <t>Výstup/funkcionalita projektu
(všetky náklady vrátane analýzy, dizajnu, testovania a nasadenia)</t>
  </si>
  <si>
    <t>Vysvetlenie rozptylu medzi minimálnou a maximálnou sumou 
(nepovinné)</t>
  </si>
  <si>
    <t>Rozdiel v nákladoch medzi existujúcim a navrhovaným riešením</t>
  </si>
  <si>
    <t>Prínosy</t>
  </si>
  <si>
    <t xml:space="preserve">Úradníci (€) </t>
  </si>
  <si>
    <t>Občania (€)</t>
  </si>
  <si>
    <t>Úradníci (FTE)</t>
  </si>
  <si>
    <t>IT - CAPEX</t>
  </si>
  <si>
    <t>IT - OPEX</t>
  </si>
  <si>
    <t>N/A</t>
  </si>
  <si>
    <t>Nevyčíslené spoločenské prínosy</t>
  </si>
  <si>
    <t>...</t>
  </si>
  <si>
    <t>(prosíme doplniť)...</t>
  </si>
  <si>
    <r>
      <t xml:space="preserve">Sem prosím vložte procesnú mapu stavu </t>
    </r>
    <r>
      <rPr>
        <b/>
        <sz val="11"/>
        <color theme="1"/>
        <rFont val="Calibri"/>
        <family val="2"/>
        <charset val="238"/>
        <scheme val="minor"/>
      </rPr>
      <t>AS IS</t>
    </r>
    <r>
      <rPr>
        <sz val="11"/>
        <color theme="1"/>
        <rFont val="Calibri"/>
        <family val="2"/>
        <charset val="238"/>
        <scheme val="minor"/>
      </rPr>
      <t xml:space="preserve"> a stavu </t>
    </r>
    <r>
      <rPr>
        <b/>
        <sz val="11"/>
        <color theme="1"/>
        <rFont val="Calibri"/>
        <family val="2"/>
        <charset val="238"/>
        <scheme val="minor"/>
      </rPr>
      <t>TO BE</t>
    </r>
  </si>
  <si>
    <t>napr.</t>
  </si>
  <si>
    <t>AS IS</t>
  </si>
  <si>
    <t>Procesy na strane úradníka (časové hodnoty)</t>
  </si>
  <si>
    <t>Proces č. 1</t>
  </si>
  <si>
    <t>Procesný krok č. 1</t>
  </si>
  <si>
    <t>Procesný krok č. 2</t>
  </si>
  <si>
    <t>Procesný krok č. 3</t>
  </si>
  <si>
    <t>Proces č. 2</t>
  </si>
  <si>
    <t>Zdroj</t>
  </si>
  <si>
    <t>prosím uveďte zdroj, v prípade vzorového prieskumu prosím vyplňte hodnoty za jednotlivé merania</t>
  </si>
  <si>
    <t>Meranie č. 1</t>
  </si>
  <si>
    <t>Meranie č. 2</t>
  </si>
  <si>
    <t>Meranie č. 3</t>
  </si>
  <si>
    <t>Meranie č. 4</t>
  </si>
  <si>
    <t>Meranie č. 5</t>
  </si>
  <si>
    <t>Meranie č. 6</t>
  </si>
  <si>
    <t>Meranie č. 7</t>
  </si>
  <si>
    <t>Meranie č. 8</t>
  </si>
  <si>
    <t>Meranie č. 9</t>
  </si>
  <si>
    <t>Meranie č. 10</t>
  </si>
  <si>
    <t>Meranie č. 11</t>
  </si>
  <si>
    <t>Meranie č. 12</t>
  </si>
  <si>
    <t>Meranie č. 13</t>
  </si>
  <si>
    <t>Meranie č. 14</t>
  </si>
  <si>
    <t>Meranie č. 15</t>
  </si>
  <si>
    <t>Meranie č. 16</t>
  </si>
  <si>
    <t>Meranie č. 17</t>
  </si>
  <si>
    <t>Meranie č. 18</t>
  </si>
  <si>
    <t>Meranie č. 19</t>
  </si>
  <si>
    <t>Meranie č. 20</t>
  </si>
  <si>
    <t>Meranie č. 21</t>
  </si>
  <si>
    <t>Meranie č. 22</t>
  </si>
  <si>
    <t>Meranie č. 23</t>
  </si>
  <si>
    <t>Meranie č. 24</t>
  </si>
  <si>
    <t>Meranie č. 25</t>
  </si>
  <si>
    <t>Meranie č. 26</t>
  </si>
  <si>
    <t>Meranie č. 27</t>
  </si>
  <si>
    <t>Meranie č. 28</t>
  </si>
  <si>
    <t>Meranie č. 29</t>
  </si>
  <si>
    <t>Meranie č. 30</t>
  </si>
  <si>
    <t>Procesy na strane občana (časové hodnoty)</t>
  </si>
  <si>
    <t>prosím doplňte časové trvanie aktivity (vložením "1")</t>
  </si>
  <si>
    <t>Zoznam hárkov s vysvetlením a pokynmi</t>
  </si>
  <si>
    <t>Sumarizácia</t>
  </si>
  <si>
    <t>CBA</t>
  </si>
  <si>
    <t>Analyza citlivosti</t>
  </si>
  <si>
    <t>Výdavky</t>
  </si>
  <si>
    <t>Parametre</t>
  </si>
  <si>
    <t>TCO</t>
  </si>
  <si>
    <t>TCO Alt. 1 - SW</t>
  </si>
  <si>
    <t>TCO Alt. 1 - HW</t>
  </si>
  <si>
    <t>TCO Alt. 2 - SW</t>
  </si>
  <si>
    <t>TCO Alt. 2 - HW</t>
  </si>
  <si>
    <t>Rozpočet - vývoj aplikácii</t>
  </si>
  <si>
    <t>Rozdiel
(voči min. riešenia navrhovaneho obstarávateĹom)</t>
  </si>
  <si>
    <t>Popis zmien v alternatívnom riešení
(nepovinné)</t>
  </si>
  <si>
    <t>Alternatívne riešeine
(nepovinné)</t>
  </si>
  <si>
    <t>Riešenie navrhované obstarávateľom</t>
  </si>
  <si>
    <t>Slepý rozpočet</t>
  </si>
  <si>
    <t>Faktory</t>
  </si>
  <si>
    <t>Meranie prínosov</t>
  </si>
  <si>
    <t>Procesné mapy</t>
  </si>
  <si>
    <t>Procesy AS IS</t>
  </si>
  <si>
    <t>Procesy TO BE</t>
  </si>
  <si>
    <t>Hárok</t>
  </si>
  <si>
    <t>Účel hárku</t>
  </si>
  <si>
    <t>Vymenovanie a popísanie nevyčíslených spoločenských prínosov</t>
  </si>
  <si>
    <t>Sumarizácia výsledkov CBA podľa prínosov a modulov</t>
  </si>
  <si>
    <t>Výsledky CBA na agregátnej úrovni, výpočet BCR</t>
  </si>
  <si>
    <t>Žiadne</t>
  </si>
  <si>
    <t>Vstupy od zhotoviteľa (žlté polia)</t>
  </si>
  <si>
    <t>Automatický výpočet citlivosti výsledkov CBA na zmeny parametrov</t>
  </si>
  <si>
    <t>Výpočet prínosov projektu na základe vstupných parametrov</t>
  </si>
  <si>
    <t>Výpočet výdavkov projektu na základe vstupných parametrov</t>
  </si>
  <si>
    <t>Polia "Ostatné daňové a nedaňové príjmy" (ak projekt také generuje)</t>
  </si>
  <si>
    <t>Vstupné parametre pre jednotlivé moduly/životné situácie: počty podaní, trvania času</t>
  </si>
  <si>
    <t>Všetky relevantné žlté polia</t>
  </si>
  <si>
    <t>Zhrnutie celkových nákladov na vlastníctvo oboch alternatív projektu</t>
  </si>
  <si>
    <t xml:space="preserve">Náklady na vlastníctvo softvéru alternatívy 1 (AS IS) </t>
  </si>
  <si>
    <t xml:space="preserve">Náklady na vlastníctvo hardvéru alternatívy 1 (AS IS) </t>
  </si>
  <si>
    <t xml:space="preserve">Náklady na vlastníctvo softvéru alternatívy 2 (TO BE) </t>
  </si>
  <si>
    <t>Náklady na vlastníctvo hardvéru alternatívy 2 (TO BE)</t>
  </si>
  <si>
    <t>Všetky relevantné žlté polia a časové trvanie projektu</t>
  </si>
  <si>
    <t>Vyplnia dodávateľia, oslovení v procese trhovej konzultácie</t>
  </si>
  <si>
    <t>Zoznam modulov s ich opisom a harmonogramom</t>
  </si>
  <si>
    <t>Spoločné vstupné parametre pre ocenenie prínosov a výpočet CBA</t>
  </si>
  <si>
    <t>Aktuálne priemerné mzdy v hospodárstve podľa ŠÚ SR, rok začiatku projektu</t>
  </si>
  <si>
    <t xml:space="preserve">Slúži na rozdelenie prínosov podľa jednotlivých úradov (ak je to možné) 
a na ex-post monitorovanie dosahovania prínosov. </t>
  </si>
  <si>
    <t xml:space="preserve">V procese prípravy štúdie vyplní iba žlté stĺpce označené ako "Alt. 2", ktoré rozdeľujú prínosy podľa úradov </t>
  </si>
  <si>
    <t>Procesné mapy súčasného a budúceho stavu biznis procesov.</t>
  </si>
  <si>
    <t>Procesné mapy ako obrázky.</t>
  </si>
  <si>
    <t xml:space="preserve">Zdroj dát pre odhad časovej náročnosti súčasných procesov. </t>
  </si>
  <si>
    <t xml:space="preserve">Zdroj dát pre odhad časovej náročnosti budúcich procesov. </t>
  </si>
  <si>
    <t>Relevantné merania podľa procesov a procesných krokov.</t>
  </si>
  <si>
    <t>Riadenie projektu</t>
  </si>
  <si>
    <t>Riadenie a publicita</t>
  </si>
  <si>
    <t>Projektové riadenie</t>
  </si>
  <si>
    <t>Počet podaní / volaní</t>
  </si>
  <si>
    <t>Priemerná mesačná hrubá mzda vo verejnej správe za 1. - 4. Q./2017 (obdobie aktualizovať k času predloženia dokumentu), podľa ŠÚ SR</t>
  </si>
  <si>
    <t>Priemerná mesačná hrubá mzda v národnom hospodárstve SR za 1. - 4. Q./2017 (obdobie aktualizovať k času predloženia dokumentu), podľa ŠÚ SR</t>
  </si>
  <si>
    <t>Fond pracovnej doby - VS (FPDvs)</t>
  </si>
  <si>
    <t>hod/rok</t>
  </si>
  <si>
    <t>Fond pracovnej doby - NH (FPDnh)</t>
  </si>
  <si>
    <t xml:space="preserve">Cper = (W_ps * Odvody) / Fond pracovnej doby. Odvody (SP, ZP, DP) sú 35,2%“. Osobné náklady sú faktorom prevádzkových variabilných nákladov.
</t>
  </si>
  <si>
    <t>Rok 2019 má dokopy 250 pracovných dní, t.j. 2000 pracovných hodín. S platenými sviatkami má rok 261 pracovných dní, t.j. 2088 pracovných hodín.. 8 hodinový pracovný čas (obdobie aktualizovať k času predloženia dokumentu), podľa https://calendar.zoznam.sk/worktime-sksk.php?hy=2019</t>
  </si>
  <si>
    <t>Rok 2019 má dokopy 250 pracovných dní, t.j. 1875 pracovných hodín. S platenými sviatkami má rok 261 pracovných dní, t.j. 1957.5 pracovných hodín. 7,5 hodinový pracovný čas (obdobie aktualizovať k času predloženia dokumentu), podľa https://calendar.zoznam.sk/worktime-sksk.php?hy=2019</t>
  </si>
  <si>
    <t>Položka</t>
  </si>
  <si>
    <t>Merná jednotka</t>
  </si>
  <si>
    <t>Počet</t>
  </si>
  <si>
    <t>Jednotková cena (eur)</t>
  </si>
  <si>
    <t>Celková suma (eur)</t>
  </si>
  <si>
    <t>Zdroj ceny</t>
  </si>
  <si>
    <t>ks</t>
  </si>
  <si>
    <t>Rozpočet - HW a licencie</t>
  </si>
  <si>
    <t>Detailný rozpočet pre vývoj navrhovaného riešenia (TO BE)</t>
  </si>
  <si>
    <t>Položkový rozpočet pre nákup licencií a HW (TO BE)</t>
  </si>
  <si>
    <t>Nákup krabicového SW</t>
  </si>
  <si>
    <t>Dodatočná úprava krabicového SW / Vývoj riešenia</t>
  </si>
  <si>
    <t>Názov SW</t>
  </si>
  <si>
    <t>počet kusov</t>
  </si>
  <si>
    <t>Cena za kus</t>
  </si>
  <si>
    <t>Cena spolu</t>
  </si>
  <si>
    <t>637003/637004</t>
  </si>
  <si>
    <t>Výstupné náklady</t>
  </si>
  <si>
    <t>Zmluvné poplaky</t>
  </si>
  <si>
    <t>Technologické požiadavky</t>
  </si>
  <si>
    <t>SW a Aplikácie - výstupné náklady</t>
  </si>
  <si>
    <t>SW a Aplikácie - Výstupné náklady</t>
  </si>
  <si>
    <t>Popis
(Vrátane zdôvodnenia zvoleného technologického variantu - IaaS, PaaS, vývoj vlastnej aplikácie, COTS riešenie)</t>
  </si>
  <si>
    <t>Koncová služba</t>
  </si>
  <si>
    <t>TO BE - AS IS (€, NPV)</t>
  </si>
  <si>
    <t>TO BE - AS IS (€, SUM)</t>
  </si>
  <si>
    <t>Kontrola TO BE</t>
  </si>
  <si>
    <t>Finančný cashflow (s DPH)</t>
  </si>
  <si>
    <t>Ekonomický cashflow (bez DPH)</t>
  </si>
  <si>
    <t>Náklady s DPH</t>
  </si>
  <si>
    <t>ekonomická čistá súčasná hodnota (eur bez DPH)</t>
  </si>
  <si>
    <t>finančná čistá súčasná hodnota (eur s DPH)</t>
  </si>
  <si>
    <t>M23</t>
  </si>
  <si>
    <t>Dátová integračná platforma</t>
  </si>
  <si>
    <t>Analýza a špecifikácia požiadaviek</t>
  </si>
  <si>
    <t>Implementácia podpory publikovania OpenData</t>
  </si>
  <si>
    <t>Implementácia služieb</t>
  </si>
  <si>
    <t>Testovanie služieb</t>
  </si>
  <si>
    <t>Školenia</t>
  </si>
  <si>
    <t>Trvanie spracovania podania (ušetrený čas úradníka)</t>
  </si>
  <si>
    <t>Čas potrebný na vypracovanie a doručenie podania (ušetrený čas používateľa)</t>
  </si>
  <si>
    <t>Nasadenie služieb</t>
  </si>
  <si>
    <t>Oracle Analytics Cloud Enterprise - Storage</t>
  </si>
  <si>
    <t>www.oracle.com/cloud/cost-estimator.html</t>
  </si>
  <si>
    <t>Request per Month</t>
  </si>
  <si>
    <t>OCPU per Hour</t>
  </si>
  <si>
    <t>GB per Month</t>
  </si>
  <si>
    <t>Oracle Analytics Cloud Enterprise - Storage Classic | Archive</t>
  </si>
  <si>
    <t>Oracle Data Integration Platform Cloud Enterprise</t>
  </si>
  <si>
    <t>GB per Hour</t>
  </si>
  <si>
    <t>All In One PC 27" 2560×1440, Intel Core i5 8400 Coffee Lake , AMD Radeon RX 550 4GB, RAM 8GB DDR4, SSD 256GB+ HDD 1TB 7 200 ot./min, DVD, WiFi, HDMI, 2× USB 3.2, 2× USB 2.0, myš a klávesnica, Windows 10 Home</t>
  </si>
  <si>
    <t>Tablet PC – AMD Ryzen 3 3200U dotykový 14" IPS antireflexný 1920×1080, RAM 4GB DDR4, AMD Radeon Vega 3, SSD 128GB, podsvietená klávesnica, webkamera, USB-C, čítačka odtlačkov prstov, WiFi 802.11ac, 4-článková batéria 45 Wh, Windows 10 S</t>
  </si>
  <si>
    <t>Tablet PC – Intel Pentium 4415Y Kaby Lake dotykový 10" IPS lesklý 1 800 × 1 200, RAM 8GB LPDDR3-SDRAM, Intel HD Graphics 615, SSD 128GB, webkamera, USB-C, WiFi 802.11ac, 3411 mAh batéria, Windows 10 S</t>
  </si>
  <si>
    <t>Oracle Analytics Cloud Enterprise - Analytics | 16 hours / 31 days</t>
  </si>
  <si>
    <t>Telemonitorovacie zariadenie</t>
  </si>
  <si>
    <t>Shimmersensing, ECK development kit, http://www.shimmersensing.com</t>
  </si>
  <si>
    <t>Celkom HW komponenty</t>
  </si>
  <si>
    <t>Celkové náklady na HW komponenty potrebné pre realizáciu externej časti predmetného riešenia</t>
  </si>
  <si>
    <t>Dátové úložisko</t>
  </si>
  <si>
    <t>Modul analytických nástrojov a konfigurácie</t>
  </si>
  <si>
    <t>Integrácie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</si>
  <si>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</si>
  <si>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</si>
  <si>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</si>
  <si>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</si>
  <si>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</si>
  <si>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</si>
  <si>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</si>
  <si>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</si>
  <si>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</si>
  <si>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</si>
  <si>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</si>
  <si>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</si>
  <si>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Testovanie služieb - priebežné vyhodnocovanie dát v praxi</t>
  </si>
  <si>
    <t>Celkom SW komponenty (mesačne)</t>
  </si>
  <si>
    <t>Celkom SW komponenty (36 mesiacov)</t>
  </si>
  <si>
    <t>Celkové náklady na SW komponenty počas obdobia 36 mesiacov</t>
  </si>
  <si>
    <t>Celkové mesačné náklady za zvolené SW komponenty po zohľadnení 15% zľavy | platí pre PaaS model pri 3ročnom kontrakte</t>
  </si>
  <si>
    <t>www.alza.sk</t>
  </si>
  <si>
    <t>Nasadenie služieb - konfigurácia parametrov v kontexte požiadaviek lekárov a analýzy</t>
  </si>
  <si>
    <t>Telemonitorovacie zariadenia a notebooky</t>
  </si>
  <si>
    <t>Ušetrené hospitalizačné dni</t>
  </si>
  <si>
    <t>Zavedenie využívania nástrojov telemonitorovania pre zvýšenie kvality života občanov SR</t>
  </si>
  <si>
    <t>isvs_10133</t>
  </si>
  <si>
    <t>Fakulta elektrotechniky a informatiky Slovenskej Technickej Univerzity</t>
  </si>
  <si>
    <t>Ilkovičova 3</t>
  </si>
  <si>
    <t>812 19 Bratislava</t>
  </si>
  <si>
    <t>www.fei.stuba.s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</si>
</sst>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0.0%"/>
    <numFmt numFmtId="168" formatCode="#,##0_ ;\-#,##0;\-;@"/>
    <numFmt numFmtId="169" formatCode="0.00;\-0.00;\-;@"/>
  </numFmts>
  <fonts count="75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18"/>
      <name val="Arial"/>
      <family val="2"/>
      <charset val="238"/>
    </font>
    <font>
      <sz val="11"/>
      <color theme="1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8"/>
      <color rgb="FFFA7D00"/>
      <name val="Calibri"/>
      <family val="2"/>
      <charset val="238"/>
      <scheme val="minor"/>
    </font>
    <font>
      <sz val="9"/>
      <color rgb="FF006100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2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A7D00"/>
      <name val="Calibri"/>
      <family val="2"/>
      <charset val="238"/>
      <scheme val="minor"/>
    </font>
    <font>
      <sz val="8"/>
      <color rgb="FFFA7D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006100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5" tint="-0.249977111117893"/>
      <name val="Arial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sz val="9"/>
      <color theme="5" tint="-0.249977111117893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theme="5" tint="-0.249977111117893"/>
      <name val="Arial"/>
      <family val="2"/>
    </font>
    <font>
      <sz val="10"/>
      <color theme="1"/>
      <name val="Arial Narrow"/>
      <family val="2"/>
    </font>
    <font>
      <sz val="11"/>
      <color rgb="FF00000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auto="1"/>
      </right>
      <top/>
      <bottom style="thin">
        <color theme="2" tint="-0.249977111117893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medium">
        <color auto="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indexed="64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indexed="64"/>
      </bottom>
      <diagonal/>
    </border>
    <border>
      <left style="thin">
        <color theme="2" tint="-0.24994659260841701"/>
      </left>
      <right style="medium">
        <color auto="1"/>
      </right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16" applyNumberFormat="0" applyAlignment="0" applyProtection="0"/>
    <xf numFmtId="0" fontId="2" fillId="5" borderId="17" applyNumberFormat="0" applyFon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776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4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9" fillId="6" borderId="15" xfId="0" applyFont="1" applyFill="1" applyBorder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 wrapText="1"/>
    </xf>
    <xf numFmtId="0" fontId="0" fillId="7" borderId="15" xfId="0" applyFill="1" applyBorder="1" applyAlignment="1">
      <alignment vertical="top" wrapText="1"/>
    </xf>
    <xf numFmtId="0" fontId="0" fillId="7" borderId="26" xfId="0" applyFill="1" applyBorder="1" applyAlignment="1">
      <alignment vertical="top" wrapText="1"/>
    </xf>
    <xf numFmtId="0" fontId="11" fillId="7" borderId="5" xfId="0" applyFont="1" applyFill="1" applyBorder="1" applyAlignment="1">
      <alignment vertical="top" wrapText="1"/>
    </xf>
    <xf numFmtId="0" fontId="9" fillId="7" borderId="0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left" vertical="top" wrapText="1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11" fillId="7" borderId="27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11" fillId="7" borderId="6" xfId="0" applyFont="1" applyFill="1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4" fontId="7" fillId="4" borderId="16" xfId="2" applyNumberFormat="1" applyAlignment="1">
      <alignment horizontal="right" vertical="top" wrapText="1"/>
    </xf>
    <xf numFmtId="4" fontId="7" fillId="4" borderId="36" xfId="2" applyNumberFormat="1" applyBorder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4" fontId="7" fillId="4" borderId="37" xfId="2" applyNumberFormat="1" applyBorder="1" applyAlignment="1">
      <alignment horizontal="right" vertical="top" wrapText="1"/>
    </xf>
    <xf numFmtId="4" fontId="6" fillId="3" borderId="0" xfId="1" applyNumberFormat="1" applyBorder="1" applyAlignment="1">
      <alignment horizontal="right" vertical="top" wrapText="1"/>
    </xf>
    <xf numFmtId="0" fontId="7" fillId="4" borderId="16" xfId="2" applyAlignment="1">
      <alignment horizontal="left" vertical="top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4" fontId="7" fillId="4" borderId="42" xfId="2" applyNumberFormat="1" applyBorder="1" applyAlignment="1">
      <alignment horizontal="right" vertical="top" wrapText="1"/>
    </xf>
    <xf numFmtId="4" fontId="7" fillId="4" borderId="45" xfId="2" applyNumberFormat="1" applyBorder="1" applyAlignment="1">
      <alignment horizontal="right" vertical="top" wrapText="1"/>
    </xf>
    <xf numFmtId="0" fontId="15" fillId="0" borderId="0" xfId="0" applyFont="1" applyBorder="1"/>
    <xf numFmtId="0" fontId="0" fillId="6" borderId="33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9" fillId="7" borderId="66" xfId="0" applyFont="1" applyFill="1" applyBorder="1" applyAlignment="1">
      <alignment horizontal="left" vertical="top" wrapText="1"/>
    </xf>
    <xf numFmtId="0" fontId="0" fillId="7" borderId="29" xfId="0" applyFill="1" applyBorder="1" applyAlignment="1">
      <alignment vertical="top" wrapText="1"/>
    </xf>
    <xf numFmtId="0" fontId="11" fillId="7" borderId="30" xfId="0" applyFont="1" applyFill="1" applyBorder="1" applyAlignment="1">
      <alignment vertical="top" wrapText="1"/>
    </xf>
    <xf numFmtId="4" fontId="7" fillId="4" borderId="68" xfId="2" applyNumberFormat="1" applyBorder="1" applyAlignment="1">
      <alignment horizontal="right" vertical="top" wrapText="1"/>
    </xf>
    <xf numFmtId="4" fontId="7" fillId="4" borderId="69" xfId="2" applyNumberFormat="1" applyBorder="1" applyAlignment="1">
      <alignment horizontal="right" vertical="top" wrapText="1"/>
    </xf>
    <xf numFmtId="4" fontId="7" fillId="4" borderId="70" xfId="2" applyNumberFormat="1" applyBorder="1" applyAlignment="1">
      <alignment horizontal="right" vertical="top" wrapText="1"/>
    </xf>
    <xf numFmtId="4" fontId="7" fillId="4" borderId="71" xfId="2" applyNumberFormat="1" applyBorder="1" applyAlignment="1">
      <alignment horizontal="right" vertical="top" wrapText="1"/>
    </xf>
    <xf numFmtId="4" fontId="7" fillId="4" borderId="73" xfId="2" applyNumberFormat="1" applyBorder="1" applyAlignment="1">
      <alignment horizontal="right" vertical="top" wrapText="1"/>
    </xf>
    <xf numFmtId="0" fontId="0" fillId="0" borderId="72" xfId="0" applyBorder="1" applyAlignment="1">
      <alignment horizontal="left" vertical="top" wrapText="1"/>
    </xf>
    <xf numFmtId="0" fontId="10" fillId="6" borderId="35" xfId="0" applyFont="1" applyFill="1" applyBorder="1" applyAlignment="1">
      <alignment horizontal="left" vertical="top" wrapText="1"/>
    </xf>
    <xf numFmtId="0" fontId="0" fillId="6" borderId="27" xfId="0" applyFill="1" applyBorder="1" applyAlignment="1">
      <alignment horizontal="left" vertical="top" wrapText="1"/>
    </xf>
    <xf numFmtId="4" fontId="7" fillId="4" borderId="74" xfId="2" applyNumberFormat="1" applyBorder="1" applyAlignment="1">
      <alignment horizontal="right" vertical="top" wrapText="1"/>
    </xf>
    <xf numFmtId="4" fontId="7" fillId="4" borderId="75" xfId="2" applyNumberFormat="1" applyBorder="1" applyAlignment="1">
      <alignment horizontal="right" vertical="top" wrapText="1"/>
    </xf>
    <xf numFmtId="4" fontId="7" fillId="4" borderId="76" xfId="2" applyNumberFormat="1" applyBorder="1" applyAlignment="1">
      <alignment horizontal="righ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6" fillId="3" borderId="77" xfId="1" applyBorder="1" applyAlignment="1">
      <alignment horizontal="right" vertical="top" wrapText="1"/>
    </xf>
    <xf numFmtId="4" fontId="7" fillId="4" borderId="36" xfId="2" applyNumberFormat="1" applyBorder="1" applyAlignment="1">
      <alignment horizontal="left" vertical="top" wrapText="1"/>
    </xf>
    <xf numFmtId="4" fontId="7" fillId="4" borderId="78" xfId="2" applyNumberFormat="1" applyBorder="1" applyAlignment="1">
      <alignment horizontal="right" vertical="top" wrapText="1"/>
    </xf>
    <xf numFmtId="4" fontId="7" fillId="4" borderId="79" xfId="2" applyNumberFormat="1" applyBorder="1" applyAlignment="1">
      <alignment horizontal="right" vertical="top" wrapText="1"/>
    </xf>
    <xf numFmtId="4" fontId="7" fillId="4" borderId="80" xfId="2" applyNumberFormat="1" applyBorder="1" applyAlignment="1">
      <alignment horizontal="right" vertical="top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3" fontId="7" fillId="4" borderId="14" xfId="2" applyNumberFormat="1" applyBorder="1" applyAlignment="1">
      <alignment horizontal="right" vertical="top" wrapText="1"/>
    </xf>
    <xf numFmtId="3" fontId="7" fillId="4" borderId="24" xfId="2" applyNumberFormat="1" applyBorder="1" applyAlignment="1">
      <alignment horizontal="right" vertical="top" wrapText="1"/>
    </xf>
    <xf numFmtId="3" fontId="7" fillId="4" borderId="15" xfId="2" applyNumberFormat="1" applyBorder="1" applyAlignment="1">
      <alignment horizontal="right" vertical="top" wrapText="1"/>
    </xf>
    <xf numFmtId="0" fontId="0" fillId="0" borderId="8" xfId="0" applyBorder="1" applyAlignment="1">
      <alignment horizontal="left" vertical="top" wrapText="1"/>
    </xf>
    <xf numFmtId="0" fontId="0" fillId="0" borderId="7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6" borderId="22" xfId="0" applyFont="1" applyFill="1" applyBorder="1" applyAlignment="1">
      <alignment horizontal="center" vertical="top" wrapText="1"/>
    </xf>
    <xf numFmtId="3" fontId="7" fillId="4" borderId="14" xfId="2" applyNumberFormat="1" applyBorder="1" applyAlignment="1">
      <alignment vertical="top" wrapText="1"/>
    </xf>
    <xf numFmtId="3" fontId="7" fillId="4" borderId="24" xfId="2" applyNumberFormat="1" applyBorder="1" applyAlignment="1">
      <alignment vertical="top" wrapText="1"/>
    </xf>
    <xf numFmtId="3" fontId="7" fillId="4" borderId="15" xfId="2" applyNumberFormat="1" applyBorder="1" applyAlignment="1">
      <alignment vertical="top" wrapText="1"/>
    </xf>
    <xf numFmtId="0" fontId="9" fillId="10" borderId="6" xfId="0" applyFont="1" applyFill="1" applyBorder="1" applyAlignment="1">
      <alignment horizontal="left" vertical="top" wrapText="1"/>
    </xf>
    <xf numFmtId="0" fontId="9" fillId="7" borderId="30" xfId="0" applyFont="1" applyFill="1" applyBorder="1" applyAlignment="1">
      <alignment horizontal="left" vertical="top" wrapText="1"/>
    </xf>
    <xf numFmtId="0" fontId="9" fillId="11" borderId="6" xfId="0" applyFont="1" applyFill="1" applyBorder="1" applyAlignment="1">
      <alignment horizontal="left" vertical="top" wrapText="1"/>
    </xf>
    <xf numFmtId="3" fontId="7" fillId="4" borderId="69" xfId="2" applyNumberFormat="1" applyBorder="1" applyAlignment="1">
      <alignment horizontal="right" vertical="top" wrapText="1"/>
    </xf>
    <xf numFmtId="3" fontId="7" fillId="4" borderId="70" xfId="2" applyNumberFormat="1" applyBorder="1" applyAlignment="1">
      <alignment horizontal="right" vertical="top" wrapText="1"/>
    </xf>
    <xf numFmtId="0" fontId="9" fillId="10" borderId="30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30" fillId="0" borderId="0" xfId="0" applyFont="1"/>
    <xf numFmtId="49" fontId="30" fillId="0" borderId="0" xfId="0" applyNumberFormat="1" applyFont="1"/>
    <xf numFmtId="3" fontId="7" fillId="4" borderId="70" xfId="2" applyNumberFormat="1" applyBorder="1"/>
    <xf numFmtId="0" fontId="28" fillId="0" borderId="0" xfId="0" applyFont="1" applyAlignment="1">
      <alignment horizontal="center"/>
    </xf>
    <xf numFmtId="0" fontId="30" fillId="0" borderId="0" xfId="0" applyFont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wrapText="1"/>
    </xf>
    <xf numFmtId="0" fontId="28" fillId="0" borderId="0" xfId="0" applyFont="1" applyAlignment="1"/>
    <xf numFmtId="0" fontId="29" fillId="0" borderId="0" xfId="0" applyFont="1" applyBorder="1" applyAlignment="1"/>
    <xf numFmtId="0" fontId="0" fillId="0" borderId="0" xfId="0" applyBorder="1"/>
    <xf numFmtId="0" fontId="30" fillId="0" borderId="0" xfId="0" applyFont="1" applyBorder="1" applyAlignment="1"/>
    <xf numFmtId="0" fontId="9" fillId="7" borderId="66" xfId="0" applyFont="1" applyFill="1" applyBorder="1" applyAlignment="1">
      <alignment horizontal="center" vertical="top" wrapText="1"/>
    </xf>
    <xf numFmtId="3" fontId="7" fillId="4" borderId="36" xfId="2" applyNumberFormat="1" applyBorder="1"/>
    <xf numFmtId="3" fontId="7" fillId="4" borderId="85" xfId="2" applyNumberFormat="1" applyBorder="1"/>
    <xf numFmtId="0" fontId="0" fillId="6" borderId="86" xfId="0" applyFill="1" applyBorder="1" applyAlignment="1">
      <alignment horizontal="center" vertical="top" wrapText="1"/>
    </xf>
    <xf numFmtId="3" fontId="7" fillId="4" borderId="79" xfId="2" applyNumberFormat="1" applyBorder="1" applyAlignment="1">
      <alignment horizontal="right"/>
    </xf>
    <xf numFmtId="3" fontId="7" fillId="4" borderId="80" xfId="2" applyNumberFormat="1" applyBorder="1" applyAlignment="1">
      <alignment horizontal="right"/>
    </xf>
    <xf numFmtId="3" fontId="7" fillId="4" borderId="66" xfId="2" applyNumberFormat="1" applyBorder="1"/>
    <xf numFmtId="3" fontId="7" fillId="4" borderId="30" xfId="2" applyNumberFormat="1" applyBorder="1"/>
    <xf numFmtId="3" fontId="7" fillId="4" borderId="87" xfId="2" applyNumberFormat="1" applyBorder="1"/>
    <xf numFmtId="0" fontId="27" fillId="0" borderId="14" xfId="0" applyFont="1" applyBorder="1" applyAlignment="1"/>
    <xf numFmtId="0" fontId="27" fillId="0" borderId="23" xfId="0" applyFont="1" applyBorder="1" applyAlignment="1"/>
    <xf numFmtId="0" fontId="29" fillId="0" borderId="24" xfId="0" applyFont="1" applyBorder="1" applyAlignment="1"/>
    <xf numFmtId="0" fontId="0" fillId="0" borderId="0" xfId="0" applyFill="1" applyBorder="1" applyAlignment="1">
      <alignment horizontal="left" vertical="top" wrapText="1"/>
    </xf>
    <xf numFmtId="0" fontId="8" fillId="0" borderId="0" xfId="0" applyFont="1"/>
    <xf numFmtId="0" fontId="3" fillId="5" borderId="30" xfId="3" applyFont="1" applyBorder="1" applyAlignment="1">
      <alignment vertical="top"/>
    </xf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6" borderId="84" xfId="0" applyFill="1" applyBorder="1" applyAlignment="1">
      <alignment horizontal="center" vertical="top" wrapText="1"/>
    </xf>
    <xf numFmtId="0" fontId="0" fillId="6" borderId="57" xfId="0" applyFill="1" applyBorder="1" applyAlignment="1">
      <alignment horizontal="center" vertical="top" wrapText="1"/>
    </xf>
    <xf numFmtId="0" fontId="0" fillId="6" borderId="58" xfId="0" applyFill="1" applyBorder="1" applyAlignment="1">
      <alignment horizontal="center" vertical="top" wrapText="1"/>
    </xf>
    <xf numFmtId="3" fontId="7" fillId="4" borderId="90" xfId="2" applyNumberFormat="1" applyBorder="1"/>
    <xf numFmtId="3" fontId="7" fillId="4" borderId="75" xfId="2" applyNumberFormat="1" applyBorder="1"/>
    <xf numFmtId="3" fontId="7" fillId="4" borderId="43" xfId="2" applyNumberFormat="1" applyBorder="1"/>
    <xf numFmtId="3" fontId="7" fillId="4" borderId="46" xfId="2" applyNumberFormat="1" applyBorder="1"/>
    <xf numFmtId="3" fontId="7" fillId="4" borderId="91" xfId="2" applyNumberFormat="1" applyBorder="1"/>
    <xf numFmtId="3" fontId="14" fillId="5" borderId="81" xfId="3" applyNumberFormat="1" applyFont="1" applyBorder="1" applyAlignment="1">
      <alignment vertical="top" wrapText="1"/>
    </xf>
    <xf numFmtId="3" fontId="14" fillId="5" borderId="53" xfId="3" applyNumberFormat="1" applyFont="1" applyBorder="1" applyAlignment="1">
      <alignment vertical="top" wrapText="1"/>
    </xf>
    <xf numFmtId="3" fontId="14" fillId="5" borderId="41" xfId="3" applyNumberFormat="1" applyFont="1" applyBorder="1" applyAlignment="1">
      <alignment vertical="top" wrapText="1"/>
    </xf>
    <xf numFmtId="3" fontId="14" fillId="5" borderId="17" xfId="3" applyNumberFormat="1" applyFont="1" applyBorder="1" applyAlignment="1">
      <alignment vertical="top" wrapText="1"/>
    </xf>
    <xf numFmtId="3" fontId="14" fillId="5" borderId="82" xfId="3" applyNumberFormat="1" applyFont="1" applyBorder="1" applyAlignment="1">
      <alignment vertical="top" wrapText="1"/>
    </xf>
    <xf numFmtId="3" fontId="14" fillId="5" borderId="54" xfId="3" applyNumberFormat="1" applyFont="1" applyBorder="1" applyAlignment="1">
      <alignment vertical="top" wrapText="1"/>
    </xf>
    <xf numFmtId="3" fontId="14" fillId="5" borderId="81" xfId="3" applyNumberFormat="1" applyFont="1" applyBorder="1" applyAlignment="1">
      <alignment horizontal="right" vertical="top" wrapText="1"/>
    </xf>
    <xf numFmtId="3" fontId="14" fillId="5" borderId="53" xfId="3" applyNumberFormat="1" applyFont="1" applyBorder="1" applyAlignment="1">
      <alignment horizontal="right" vertical="top" wrapText="1"/>
    </xf>
    <xf numFmtId="3" fontId="14" fillId="5" borderId="41" xfId="3" applyNumberFormat="1" applyFont="1" applyBorder="1" applyAlignment="1">
      <alignment horizontal="right" vertical="top" wrapText="1"/>
    </xf>
    <xf numFmtId="3" fontId="14" fillId="5" borderId="17" xfId="3" applyNumberFormat="1" applyFont="1" applyBorder="1" applyAlignment="1">
      <alignment horizontal="right" vertical="top" wrapText="1"/>
    </xf>
    <xf numFmtId="3" fontId="14" fillId="5" borderId="82" xfId="3" applyNumberFormat="1" applyFont="1" applyBorder="1" applyAlignment="1">
      <alignment horizontal="right" vertical="top" wrapText="1"/>
    </xf>
    <xf numFmtId="3" fontId="14" fillId="5" borderId="54" xfId="3" applyNumberFormat="1" applyFont="1" applyBorder="1" applyAlignment="1">
      <alignment horizontal="right" vertical="top" wrapText="1"/>
    </xf>
    <xf numFmtId="3" fontId="7" fillId="4" borderId="92" xfId="2" applyNumberFormat="1" applyBorder="1" applyAlignment="1">
      <alignment horizontal="right" vertical="top" wrapText="1"/>
    </xf>
    <xf numFmtId="3" fontId="7" fillId="4" borderId="52" xfId="2" applyNumberFormat="1" applyBorder="1" applyAlignment="1">
      <alignment horizontal="right" vertical="top" wrapText="1"/>
    </xf>
    <xf numFmtId="3" fontId="7" fillId="4" borderId="47" xfId="2" applyNumberFormat="1" applyBorder="1" applyAlignment="1">
      <alignment vertical="top" wrapText="1"/>
    </xf>
    <xf numFmtId="3" fontId="7" fillId="4" borderId="44" xfId="2" applyNumberFormat="1" applyBorder="1" applyAlignment="1">
      <alignment vertical="top" wrapText="1"/>
    </xf>
    <xf numFmtId="3" fontId="7" fillId="4" borderId="93" xfId="2" applyNumberFormat="1" applyBorder="1" applyAlignment="1">
      <alignment vertical="top" wrapText="1"/>
    </xf>
    <xf numFmtId="3" fontId="7" fillId="4" borderId="16" xfId="2" applyNumberFormat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4" fillId="0" borderId="0" xfId="0" applyFont="1"/>
    <xf numFmtId="0" fontId="34" fillId="0" borderId="0" xfId="0" applyFont="1" applyAlignment="1">
      <alignment horizontal="right"/>
    </xf>
    <xf numFmtId="0" fontId="36" fillId="0" borderId="0" xfId="0" applyFont="1" applyFill="1" applyBorder="1" applyAlignment="1">
      <alignment horizontal="center" vertical="center" wrapText="1"/>
    </xf>
    <xf numFmtId="0" fontId="35" fillId="12" borderId="77" xfId="0" applyFont="1" applyFill="1" applyBorder="1" applyAlignment="1">
      <alignment vertical="top"/>
    </xf>
    <xf numFmtId="0" fontId="35" fillId="12" borderId="0" xfId="0" applyFont="1" applyFill="1" applyBorder="1" applyAlignment="1">
      <alignment vertical="top"/>
    </xf>
    <xf numFmtId="0" fontId="35" fillId="12" borderId="24" xfId="0" applyFont="1" applyFill="1" applyBorder="1" applyAlignment="1">
      <alignment vertical="top"/>
    </xf>
    <xf numFmtId="0" fontId="35" fillId="12" borderId="6" xfId="0" applyFont="1" applyFill="1" applyBorder="1" applyAlignment="1">
      <alignment vertical="top"/>
    </xf>
    <xf numFmtId="0" fontId="34" fillId="0" borderId="0" xfId="0" applyFont="1" applyBorder="1"/>
    <xf numFmtId="0" fontId="34" fillId="0" borderId="0" xfId="0" applyFont="1" applyFill="1" applyBorder="1" applyAlignment="1">
      <alignment horizontal="left"/>
    </xf>
    <xf numFmtId="0" fontId="39" fillId="14" borderId="29" xfId="0" applyFont="1" applyFill="1" applyBorder="1"/>
    <xf numFmtId="1" fontId="39" fillId="0" borderId="0" xfId="0" applyNumberFormat="1" applyFont="1" applyFill="1" applyBorder="1"/>
    <xf numFmtId="0" fontId="34" fillId="0" borderId="0" xfId="0" applyFont="1" applyFill="1"/>
    <xf numFmtId="0" fontId="40" fillId="0" borderId="0" xfId="0" applyFont="1"/>
    <xf numFmtId="4" fontId="7" fillId="4" borderId="50" xfId="2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left" vertical="top" wrapText="1"/>
    </xf>
    <xf numFmtId="0" fontId="2" fillId="6" borderId="55" xfId="0" applyFont="1" applyFill="1" applyBorder="1" applyAlignment="1">
      <alignment horizontal="center" vertical="top" wrapText="1"/>
    </xf>
    <xf numFmtId="0" fontId="2" fillId="6" borderId="84" xfId="0" applyFont="1" applyFill="1" applyBorder="1" applyAlignment="1">
      <alignment horizontal="center" vertical="top" wrapText="1"/>
    </xf>
    <xf numFmtId="0" fontId="2" fillId="6" borderId="57" xfId="0" applyFont="1" applyFill="1" applyBorder="1" applyAlignment="1">
      <alignment horizontal="center" vertical="top" wrapText="1"/>
    </xf>
    <xf numFmtId="0" fontId="2" fillId="6" borderId="58" xfId="0" applyFont="1" applyFill="1" applyBorder="1" applyAlignment="1">
      <alignment horizontal="center" vertical="top" wrapText="1"/>
    </xf>
    <xf numFmtId="0" fontId="2" fillId="0" borderId="38" xfId="0" applyFont="1" applyBorder="1" applyAlignment="1">
      <alignment horizontal="left"/>
    </xf>
    <xf numFmtId="3" fontId="7" fillId="4" borderId="79" xfId="2" applyNumberFormat="1" applyFont="1" applyBorder="1" applyAlignment="1">
      <alignment horizontal="right"/>
    </xf>
    <xf numFmtId="3" fontId="7" fillId="4" borderId="90" xfId="2" applyNumberFormat="1" applyFont="1" applyBorder="1"/>
    <xf numFmtId="3" fontId="7" fillId="4" borderId="36" xfId="2" applyNumberFormat="1" applyFont="1" applyBorder="1"/>
    <xf numFmtId="3" fontId="7" fillId="4" borderId="75" xfId="2" applyNumberFormat="1" applyFont="1" applyBorder="1"/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3" fontId="7" fillId="4" borderId="80" xfId="2" applyNumberFormat="1" applyFont="1" applyBorder="1" applyAlignment="1">
      <alignment horizontal="right"/>
    </xf>
    <xf numFmtId="3" fontId="7" fillId="4" borderId="66" xfId="2" applyNumberFormat="1" applyFont="1" applyBorder="1"/>
    <xf numFmtId="3" fontId="7" fillId="4" borderId="85" xfId="2" applyNumberFormat="1" applyFont="1" applyBorder="1"/>
    <xf numFmtId="3" fontId="7" fillId="4" borderId="70" xfId="2" applyNumberFormat="1" applyFont="1" applyBorder="1"/>
    <xf numFmtId="3" fontId="7" fillId="4" borderId="87" xfId="2" applyNumberFormat="1" applyFont="1" applyBorder="1"/>
    <xf numFmtId="3" fontId="7" fillId="4" borderId="30" xfId="2" applyNumberFormat="1" applyFont="1" applyBorder="1"/>
    <xf numFmtId="3" fontId="7" fillId="4" borderId="96" xfId="2" applyNumberFormat="1" applyFont="1" applyBorder="1"/>
    <xf numFmtId="3" fontId="7" fillId="4" borderId="16" xfId="2" applyNumberFormat="1" applyFont="1" applyBorder="1"/>
    <xf numFmtId="4" fontId="7" fillId="4" borderId="97" xfId="2" applyNumberFormat="1" applyBorder="1" applyAlignment="1">
      <alignment horizontal="right" vertical="top" wrapText="1"/>
    </xf>
    <xf numFmtId="4" fontId="7" fillId="0" borderId="0" xfId="2" applyNumberFormat="1" applyFill="1" applyBorder="1" applyAlignment="1">
      <alignment horizontal="right" vertical="top" wrapText="1"/>
    </xf>
    <xf numFmtId="4" fontId="0" fillId="0" borderId="0" xfId="0" applyNumberFormat="1"/>
    <xf numFmtId="4" fontId="7" fillId="4" borderId="99" xfId="2" applyNumberFormat="1" applyBorder="1" applyAlignment="1">
      <alignment horizontal="right" vertical="top" wrapText="1"/>
    </xf>
    <xf numFmtId="0" fontId="8" fillId="0" borderId="8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/>
    <xf numFmtId="0" fontId="0" fillId="0" borderId="6" xfId="0" applyBorder="1"/>
    <xf numFmtId="0" fontId="0" fillId="0" borderId="5" xfId="0" applyBorder="1"/>
    <xf numFmtId="0" fontId="0" fillId="0" borderId="62" xfId="0" applyBorder="1" applyAlignment="1">
      <alignment horizontal="center" vertical="center"/>
    </xf>
    <xf numFmtId="0" fontId="0" fillId="0" borderId="13" xfId="0" applyBorder="1"/>
    <xf numFmtId="4" fontId="7" fillId="4" borderId="112" xfId="2" applyNumberFormat="1" applyBorder="1" applyAlignment="1">
      <alignment horizontal="right" vertical="top" wrapText="1"/>
    </xf>
    <xf numFmtId="4" fontId="7" fillId="4" borderId="111" xfId="2" applyNumberFormat="1" applyBorder="1" applyAlignment="1">
      <alignment horizontal="right" vertical="top" wrapText="1"/>
    </xf>
    <xf numFmtId="2" fontId="34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4" fontId="44" fillId="4" borderId="112" xfId="2" applyNumberFormat="1" applyFont="1" applyBorder="1" applyAlignment="1">
      <alignment horizontal="left" vertical="center" wrapText="1"/>
    </xf>
    <xf numFmtId="4" fontId="7" fillId="15" borderId="111" xfId="2" applyNumberFormat="1" applyFill="1" applyBorder="1" applyAlignment="1">
      <alignment horizontal="right" vertical="center" wrapText="1"/>
    </xf>
    <xf numFmtId="167" fontId="43" fillId="15" borderId="111" xfId="4" applyNumberFormat="1" applyFont="1" applyFill="1" applyBorder="1" applyAlignment="1">
      <alignment horizontal="right" vertical="center" wrapText="1"/>
    </xf>
    <xf numFmtId="3" fontId="43" fillId="15" borderId="111" xfId="4" applyNumberFormat="1" applyFont="1" applyFill="1" applyBorder="1" applyAlignment="1">
      <alignment horizontal="right" vertical="center" wrapText="1"/>
    </xf>
    <xf numFmtId="0" fontId="45" fillId="0" borderId="0" xfId="0" applyFont="1" applyAlignment="1">
      <alignment horizontal="right" vertical="center"/>
    </xf>
    <xf numFmtId="4" fontId="46" fillId="9" borderId="111" xfId="2" applyNumberFormat="1" applyFont="1" applyFill="1" applyBorder="1" applyAlignment="1">
      <alignment horizontal="right" vertical="center" wrapText="1"/>
    </xf>
    <xf numFmtId="167" fontId="47" fillId="9" borderId="111" xfId="4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vertical="center"/>
    </xf>
    <xf numFmtId="3" fontId="47" fillId="9" borderId="111" xfId="4" applyNumberFormat="1" applyFont="1" applyFill="1" applyBorder="1" applyAlignment="1">
      <alignment horizontal="right" vertical="center" wrapText="1"/>
    </xf>
    <xf numFmtId="2" fontId="3" fillId="17" borderId="77" xfId="1" applyNumberFormat="1" applyFont="1" applyFill="1" applyBorder="1" applyAlignment="1">
      <alignment vertical="top" wrapText="1"/>
    </xf>
    <xf numFmtId="1" fontId="49" fillId="3" borderId="5" xfId="1" applyNumberFormat="1" applyFont="1" applyBorder="1" applyAlignment="1">
      <alignment horizontal="right" vertical="top" wrapText="1"/>
    </xf>
    <xf numFmtId="0" fontId="31" fillId="0" borderId="0" xfId="0" applyFont="1" applyBorder="1"/>
    <xf numFmtId="0" fontId="9" fillId="0" borderId="0" xfId="0" applyFont="1" applyFill="1" applyBorder="1" applyAlignment="1">
      <alignment horizontal="center" vertical="top" wrapText="1"/>
    </xf>
    <xf numFmtId="3" fontId="7" fillId="0" borderId="0" xfId="2" applyNumberFormat="1" applyFill="1" applyBorder="1"/>
    <xf numFmtId="0" fontId="8" fillId="0" borderId="58" xfId="0" applyFont="1" applyBorder="1" applyAlignment="1"/>
    <xf numFmtId="0" fontId="8" fillId="0" borderId="114" xfId="0" applyFont="1" applyBorder="1" applyAlignment="1"/>
    <xf numFmtId="0" fontId="0" fillId="0" borderId="115" xfId="0" applyFont="1" applyBorder="1" applyAlignment="1">
      <alignment horizontal="left"/>
    </xf>
    <xf numFmtId="0" fontId="9" fillId="7" borderId="30" xfId="0" applyFont="1" applyFill="1" applyBorder="1" applyAlignment="1">
      <alignment horizontal="center" vertical="top" wrapText="1"/>
    </xf>
    <xf numFmtId="0" fontId="0" fillId="0" borderId="6" xfId="0" applyFont="1" applyBorder="1" applyAlignment="1"/>
    <xf numFmtId="0" fontId="0" fillId="0" borderId="6" xfId="0" applyFont="1" applyBorder="1" applyAlignment="1">
      <alignment horizontal="right"/>
    </xf>
    <xf numFmtId="0" fontId="31" fillId="0" borderId="6" xfId="0" applyFont="1" applyBorder="1"/>
    <xf numFmtId="0" fontId="33" fillId="0" borderId="24" xfId="0" applyFont="1" applyBorder="1" applyAlignment="1"/>
    <xf numFmtId="9" fontId="0" fillId="0" borderId="19" xfId="4" applyFont="1" applyBorder="1" applyAlignment="1">
      <alignment wrapText="1"/>
    </xf>
    <xf numFmtId="4" fontId="0" fillId="0" borderId="20" xfId="0" applyNumberFormat="1" applyBorder="1" applyAlignment="1">
      <alignment wrapText="1"/>
    </xf>
    <xf numFmtId="9" fontId="0" fillId="0" borderId="0" xfId="4" applyFont="1"/>
    <xf numFmtId="4" fontId="0" fillId="0" borderId="20" xfId="0" applyNumberFormat="1" applyBorder="1"/>
    <xf numFmtId="9" fontId="0" fillId="0" borderId="0" xfId="4" applyFont="1" applyBorder="1" applyAlignment="1">
      <alignment wrapText="1"/>
    </xf>
    <xf numFmtId="0" fontId="0" fillId="0" borderId="0" xfId="0" applyBorder="1" applyAlignment="1">
      <alignment wrapText="1"/>
    </xf>
    <xf numFmtId="2" fontId="0" fillId="0" borderId="20" xfId="0" applyNumberFormat="1" applyBorder="1" applyAlignment="1">
      <alignment wrapText="1"/>
    </xf>
    <xf numFmtId="2" fontId="0" fillId="0" borderId="118" xfId="0" applyNumberFormat="1" applyBorder="1" applyAlignment="1">
      <alignment wrapText="1"/>
    </xf>
    <xf numFmtId="2" fontId="0" fillId="0" borderId="20" xfId="0" applyNumberFormat="1" applyBorder="1"/>
    <xf numFmtId="2" fontId="0" fillId="0" borderId="118" xfId="0" applyNumberFormat="1" applyBorder="1"/>
    <xf numFmtId="9" fontId="8" fillId="10" borderId="19" xfId="4" applyFont="1" applyFill="1" applyBorder="1" applyAlignment="1">
      <alignment wrapText="1"/>
    </xf>
    <xf numFmtId="9" fontId="8" fillId="10" borderId="117" xfId="4" applyFont="1" applyFill="1" applyBorder="1" applyAlignment="1">
      <alignment wrapText="1"/>
    </xf>
    <xf numFmtId="9" fontId="8" fillId="10" borderId="19" xfId="4" applyFont="1" applyFill="1" applyBorder="1"/>
    <xf numFmtId="9" fontId="8" fillId="10" borderId="117" xfId="4" applyFont="1" applyFill="1" applyBorder="1"/>
    <xf numFmtId="0" fontId="8" fillId="10" borderId="0" xfId="0" applyFont="1" applyFill="1" applyAlignment="1">
      <alignment wrapText="1"/>
    </xf>
    <xf numFmtId="4" fontId="8" fillId="10" borderId="0" xfId="0" applyNumberFormat="1" applyFont="1" applyFill="1" applyAlignment="1">
      <alignment wrapText="1"/>
    </xf>
    <xf numFmtId="0" fontId="8" fillId="0" borderId="0" xfId="0" applyFont="1" applyFill="1"/>
    <xf numFmtId="0" fontId="8" fillId="10" borderId="20" xfId="0" applyFont="1" applyFill="1" applyBorder="1" applyAlignment="1">
      <alignment horizontal="right" wrapText="1"/>
    </xf>
    <xf numFmtId="0" fontId="8" fillId="10" borderId="19" xfId="0" applyFont="1" applyFill="1" applyBorder="1" applyAlignment="1">
      <alignment horizontal="right" wrapText="1"/>
    </xf>
    <xf numFmtId="0" fontId="8" fillId="10" borderId="116" xfId="0" applyFont="1" applyFill="1" applyBorder="1" applyAlignment="1">
      <alignment horizontal="right"/>
    </xf>
    <xf numFmtId="0" fontId="8" fillId="10" borderId="110" xfId="0" applyFon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2" fontId="0" fillId="0" borderId="0" xfId="0" applyNumberForma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4" fontId="8" fillId="0" borderId="0" xfId="0" applyNumberFormat="1" applyFont="1" applyBorder="1" applyAlignment="1">
      <alignment wrapText="1"/>
    </xf>
    <xf numFmtId="9" fontId="8" fillId="19" borderId="20" xfId="4" applyFont="1" applyFill="1" applyBorder="1" applyAlignment="1">
      <alignment wrapText="1"/>
    </xf>
    <xf numFmtId="2" fontId="0" fillId="0" borderId="0" xfId="0" applyNumberFormat="1" applyBorder="1"/>
    <xf numFmtId="9" fontId="8" fillId="19" borderId="21" xfId="4" applyFont="1" applyFill="1" applyBorder="1" applyAlignment="1">
      <alignment wrapText="1"/>
    </xf>
    <xf numFmtId="2" fontId="0" fillId="0" borderId="21" xfId="0" applyNumberFormat="1" applyBorder="1" applyAlignment="1">
      <alignment wrapText="1"/>
    </xf>
    <xf numFmtId="2" fontId="0" fillId="0" borderId="21" xfId="0" applyNumberFormat="1" applyBorder="1"/>
    <xf numFmtId="9" fontId="8" fillId="19" borderId="117" xfId="4" applyFont="1" applyFill="1" applyBorder="1" applyAlignment="1">
      <alignment wrapText="1"/>
    </xf>
    <xf numFmtId="9" fontId="8" fillId="19" borderId="118" xfId="4" applyFont="1" applyFill="1" applyBorder="1" applyAlignment="1">
      <alignment wrapText="1"/>
    </xf>
    <xf numFmtId="9" fontId="8" fillId="19" borderId="110" xfId="4" applyFont="1" applyFill="1" applyBorder="1" applyAlignment="1">
      <alignment wrapText="1"/>
    </xf>
    <xf numFmtId="0" fontId="39" fillId="14" borderId="15" xfId="0" applyFont="1" applyFill="1" applyBorder="1"/>
    <xf numFmtId="0" fontId="0" fillId="17" borderId="57" xfId="0" applyFill="1" applyBorder="1"/>
    <xf numFmtId="0" fontId="0" fillId="17" borderId="22" xfId="0" applyFill="1" applyBorder="1"/>
    <xf numFmtId="0" fontId="0" fillId="17" borderId="83" xfId="0" applyFill="1" applyBorder="1"/>
    <xf numFmtId="0" fontId="0" fillId="17" borderId="108" xfId="0" applyFill="1" applyBorder="1"/>
    <xf numFmtId="0" fontId="35" fillId="12" borderId="13" xfId="0" applyFont="1" applyFill="1" applyBorder="1" applyAlignment="1">
      <alignment horizontal="center" vertical="center" wrapText="1"/>
    </xf>
    <xf numFmtId="0" fontId="37" fillId="17" borderId="126" xfId="0" applyFont="1" applyFill="1" applyBorder="1" applyAlignment="1">
      <alignment vertical="center"/>
    </xf>
    <xf numFmtId="0" fontId="37" fillId="17" borderId="125" xfId="0" applyFont="1" applyFill="1" applyBorder="1" applyAlignment="1">
      <alignment vertical="center"/>
    </xf>
    <xf numFmtId="0" fontId="35" fillId="12" borderId="23" xfId="0" applyFont="1" applyFill="1" applyBorder="1" applyAlignment="1">
      <alignment vertical="center"/>
    </xf>
    <xf numFmtId="0" fontId="35" fillId="12" borderId="8" xfId="0" applyFont="1" applyFill="1" applyBorder="1" applyAlignment="1">
      <alignment vertical="center" wrapText="1"/>
    </xf>
    <xf numFmtId="0" fontId="35" fillId="12" borderId="14" xfId="0" applyFont="1" applyFill="1" applyBorder="1" applyAlignment="1">
      <alignment vertical="center"/>
    </xf>
    <xf numFmtId="0" fontId="35" fillId="12" borderId="13" xfId="0" applyFont="1" applyFill="1" applyBorder="1" applyAlignment="1">
      <alignment vertical="center"/>
    </xf>
    <xf numFmtId="0" fontId="35" fillId="12" borderId="14" xfId="0" applyFont="1" applyFill="1" applyBorder="1" applyAlignment="1">
      <alignment horizontal="center" vertical="center" wrapText="1"/>
    </xf>
    <xf numFmtId="0" fontId="35" fillId="12" borderId="23" xfId="0" applyFont="1" applyFill="1" applyBorder="1" applyAlignment="1">
      <alignment horizontal="center" vertical="center" wrapText="1"/>
    </xf>
    <xf numFmtId="0" fontId="35" fillId="12" borderId="24" xfId="0" applyFont="1" applyFill="1" applyBorder="1" applyAlignment="1">
      <alignment horizontal="center" vertical="center" wrapText="1"/>
    </xf>
    <xf numFmtId="0" fontId="35" fillId="12" borderId="0" xfId="0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21" xfId="0" applyFont="1" applyBorder="1" applyAlignment="1">
      <alignment horizontal="center" vertical="center"/>
    </xf>
    <xf numFmtId="0" fontId="39" fillId="14" borderId="26" xfId="0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center" wrapText="1"/>
    </xf>
    <xf numFmtId="2" fontId="39" fillId="14" borderId="30" xfId="0" applyNumberFormat="1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top" wrapText="1"/>
    </xf>
    <xf numFmtId="0" fontId="35" fillId="12" borderId="14" xfId="0" applyFont="1" applyFill="1" applyBorder="1" applyAlignment="1">
      <alignment horizontal="center" vertical="center"/>
    </xf>
    <xf numFmtId="0" fontId="35" fillId="12" borderId="23" xfId="0" applyFont="1" applyFill="1" applyBorder="1" applyAlignment="1">
      <alignment horizontal="center" vertical="center"/>
    </xf>
    <xf numFmtId="0" fontId="35" fillId="12" borderId="13" xfId="0" applyFont="1" applyFill="1" applyBorder="1" applyAlignment="1">
      <alignment horizontal="center" vertical="center"/>
    </xf>
    <xf numFmtId="0" fontId="35" fillId="12" borderId="24" xfId="0" applyFont="1" applyFill="1" applyBorder="1" applyAlignment="1">
      <alignment horizontal="center" vertical="center"/>
    </xf>
    <xf numFmtId="0" fontId="35" fillId="12" borderId="0" xfId="0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center"/>
    </xf>
    <xf numFmtId="0" fontId="39" fillId="14" borderId="29" xfId="0" applyFont="1" applyFill="1" applyBorder="1" applyAlignment="1">
      <alignment horizontal="center" vertical="center"/>
    </xf>
    <xf numFmtId="0" fontId="34" fillId="17" borderId="121" xfId="0" applyFont="1" applyFill="1" applyBorder="1" applyAlignment="1">
      <alignment horizontal="center" vertical="center"/>
    </xf>
    <xf numFmtId="0" fontId="34" fillId="17" borderId="124" xfId="0" applyFont="1" applyFill="1" applyBorder="1" applyAlignment="1">
      <alignment horizontal="center" vertical="center"/>
    </xf>
    <xf numFmtId="0" fontId="35" fillId="12" borderId="8" xfId="0" applyFont="1" applyFill="1" applyBorder="1" applyAlignment="1">
      <alignment horizontal="left" vertical="center"/>
    </xf>
    <xf numFmtId="0" fontId="35" fillId="12" borderId="23" xfId="0" applyFont="1" applyFill="1" applyBorder="1" applyAlignment="1">
      <alignment horizontal="left" vertical="center"/>
    </xf>
    <xf numFmtId="0" fontId="37" fillId="17" borderId="126" xfId="0" applyFont="1" applyFill="1" applyBorder="1" applyAlignment="1">
      <alignment horizontal="left" vertical="center"/>
    </xf>
    <xf numFmtId="0" fontId="38" fillId="17" borderId="126" xfId="0" applyFont="1" applyFill="1" applyBorder="1" applyAlignment="1">
      <alignment horizontal="left" vertical="center"/>
    </xf>
    <xf numFmtId="0" fontId="39" fillId="14" borderId="15" xfId="0" applyFont="1" applyFill="1" applyBorder="1" applyAlignment="1">
      <alignment horizontal="left" vertical="center"/>
    </xf>
    <xf numFmtId="3" fontId="7" fillId="4" borderId="131" xfId="2" applyNumberFormat="1" applyBorder="1" applyAlignment="1">
      <alignment horizontal="right" vertical="top" wrapText="1"/>
    </xf>
    <xf numFmtId="3" fontId="14" fillId="5" borderId="94" xfId="3" applyNumberFormat="1" applyFont="1" applyBorder="1" applyAlignment="1">
      <alignment horizontal="right" vertical="top" wrapText="1"/>
    </xf>
    <xf numFmtId="3" fontId="14" fillId="5" borderId="132" xfId="3" applyNumberFormat="1" applyFont="1" applyBorder="1" applyAlignment="1">
      <alignment horizontal="right" vertical="top" wrapText="1"/>
    </xf>
    <xf numFmtId="3" fontId="14" fillId="5" borderId="133" xfId="3" applyNumberFormat="1" applyFont="1" applyBorder="1" applyAlignment="1">
      <alignment horizontal="right" vertical="top" wrapText="1"/>
    </xf>
    <xf numFmtId="3" fontId="7" fillId="4" borderId="134" xfId="2" applyNumberFormat="1" applyBorder="1" applyAlignment="1">
      <alignment vertical="top" wrapText="1"/>
    </xf>
    <xf numFmtId="3" fontId="14" fillId="5" borderId="94" xfId="3" applyNumberFormat="1" applyFont="1" applyBorder="1" applyAlignment="1">
      <alignment vertical="top" wrapText="1"/>
    </xf>
    <xf numFmtId="3" fontId="14" fillId="5" borderId="132" xfId="3" applyNumberFormat="1" applyFont="1" applyBorder="1" applyAlignment="1">
      <alignment vertical="top" wrapText="1"/>
    </xf>
    <xf numFmtId="3" fontId="14" fillId="5" borderId="133" xfId="3" applyNumberFormat="1" applyFont="1" applyBorder="1" applyAlignment="1">
      <alignment vertical="top" wrapText="1"/>
    </xf>
    <xf numFmtId="3" fontId="7" fillId="4" borderId="100" xfId="2" applyNumberFormat="1" applyBorder="1" applyAlignment="1">
      <alignment horizontal="right" vertical="top" wrapText="1"/>
    </xf>
    <xf numFmtId="3" fontId="7" fillId="4" borderId="102" xfId="2" applyNumberFormat="1" applyBorder="1" applyAlignment="1">
      <alignment vertical="top" wrapText="1"/>
    </xf>
    <xf numFmtId="0" fontId="0" fillId="0" borderId="0" xfId="0" applyAlignment="1">
      <alignment horizontal="center"/>
    </xf>
    <xf numFmtId="0" fontId="8" fillId="19" borderId="0" xfId="0" applyFont="1" applyFill="1"/>
    <xf numFmtId="0" fontId="8" fillId="19" borderId="0" xfId="0" applyFont="1" applyFill="1" applyAlignment="1">
      <alignment horizontal="left"/>
    </xf>
    <xf numFmtId="0" fontId="8" fillId="0" borderId="66" xfId="0" applyFont="1" applyBorder="1" applyAlignment="1">
      <alignment horizontal="center" vertical="center" wrapText="1"/>
    </xf>
    <xf numFmtId="0" fontId="32" fillId="0" borderId="138" xfId="0" applyFont="1" applyBorder="1" applyAlignment="1">
      <alignment horizontal="center" wrapText="1"/>
    </xf>
    <xf numFmtId="0" fontId="32" fillId="0" borderId="14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14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8" fillId="0" borderId="13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135" xfId="0" applyFont="1" applyBorder="1" applyAlignment="1">
      <alignment horizontal="center" vertical="center" wrapText="1"/>
    </xf>
    <xf numFmtId="0" fontId="0" fillId="0" borderId="136" xfId="0" applyFont="1" applyBorder="1" applyAlignment="1">
      <alignment horizontal="center" vertical="center" wrapText="1"/>
    </xf>
    <xf numFmtId="0" fontId="0" fillId="17" borderId="107" xfId="0" applyFill="1" applyBorder="1"/>
    <xf numFmtId="0" fontId="36" fillId="0" borderId="24" xfId="0" applyFont="1" applyFill="1" applyBorder="1" applyAlignment="1">
      <alignment horizontal="left" vertical="center"/>
    </xf>
    <xf numFmtId="0" fontId="0" fillId="17" borderId="108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17" borderId="107" xfId="0" applyFill="1" applyBorder="1" applyAlignment="1">
      <alignment horizontal="center"/>
    </xf>
    <xf numFmtId="0" fontId="32" fillId="0" borderId="137" xfId="0" applyFont="1" applyBorder="1" applyAlignment="1">
      <alignment horizontal="center" wrapText="1"/>
    </xf>
    <xf numFmtId="0" fontId="0" fillId="17" borderId="118" xfId="0" applyFill="1" applyBorder="1" applyAlignment="1">
      <alignment horizontal="center"/>
    </xf>
    <xf numFmtId="0" fontId="33" fillId="9" borderId="66" xfId="0" applyFont="1" applyFill="1" applyBorder="1" applyAlignment="1">
      <alignment horizontal="left" vertical="top"/>
    </xf>
    <xf numFmtId="0" fontId="0" fillId="17" borderId="141" xfId="0" applyFill="1" applyBorder="1" applyAlignment="1"/>
    <xf numFmtId="0" fontId="0" fillId="17" borderId="135" xfId="0" applyFill="1" applyBorder="1" applyAlignment="1">
      <alignment horizontal="left"/>
    </xf>
    <xf numFmtId="0" fontId="0" fillId="17" borderId="135" xfId="0" applyFill="1" applyBorder="1" applyAlignment="1">
      <alignment horizontal="center"/>
    </xf>
    <xf numFmtId="0" fontId="0" fillId="17" borderId="136" xfId="0" applyFill="1" applyBorder="1"/>
    <xf numFmtId="0" fontId="32" fillId="0" borderId="139" xfId="0" applyFont="1" applyBorder="1" applyAlignment="1">
      <alignment wrapText="1"/>
    </xf>
    <xf numFmtId="0" fontId="0" fillId="17" borderId="117" xfId="0" applyFill="1" applyBorder="1" applyAlignment="1">
      <alignment horizontal="center"/>
    </xf>
    <xf numFmtId="0" fontId="0" fillId="17" borderId="119" xfId="0" applyFill="1" applyBorder="1" applyAlignment="1">
      <alignment horizontal="center"/>
    </xf>
    <xf numFmtId="0" fontId="0" fillId="17" borderId="119" xfId="0" applyFill="1" applyBorder="1"/>
    <xf numFmtId="0" fontId="32" fillId="0" borderId="29" xfId="0" applyFont="1" applyBorder="1" applyAlignment="1">
      <alignment horizontal="center" wrapText="1"/>
    </xf>
    <xf numFmtId="0" fontId="0" fillId="17" borderId="141" xfId="0" applyFill="1" applyBorder="1" applyAlignment="1">
      <alignment horizontal="center"/>
    </xf>
    <xf numFmtId="0" fontId="0" fillId="17" borderId="22" xfId="0" applyFill="1" applyBorder="1" applyAlignment="1">
      <alignment horizontal="center" vertical="top" wrapText="1"/>
    </xf>
    <xf numFmtId="0" fontId="57" fillId="0" borderId="0" xfId="0" applyFont="1"/>
    <xf numFmtId="2" fontId="39" fillId="14" borderId="66" xfId="0" applyNumberFormat="1" applyFont="1" applyFill="1" applyBorder="1" applyAlignment="1">
      <alignment horizontal="center" vertical="center"/>
    </xf>
    <xf numFmtId="2" fontId="39" fillId="14" borderId="29" xfId="0" applyNumberFormat="1" applyFont="1" applyFill="1" applyBorder="1" applyAlignment="1">
      <alignment horizontal="center" vertical="center"/>
    </xf>
    <xf numFmtId="0" fontId="35" fillId="12" borderId="77" xfId="0" applyFont="1" applyFill="1" applyBorder="1" applyAlignment="1">
      <alignment horizontal="center" vertical="top" wrapText="1"/>
    </xf>
    <xf numFmtId="0" fontId="35" fillId="12" borderId="6" xfId="0" applyFont="1" applyFill="1" applyBorder="1" applyAlignment="1">
      <alignment vertical="center"/>
    </xf>
    <xf numFmtId="0" fontId="35" fillId="12" borderId="0" xfId="0" applyFont="1" applyFill="1" applyBorder="1" applyAlignment="1">
      <alignment vertical="center"/>
    </xf>
    <xf numFmtId="0" fontId="35" fillId="12" borderId="24" xfId="0" applyFont="1" applyFill="1" applyBorder="1" applyAlignment="1">
      <alignment vertical="center"/>
    </xf>
    <xf numFmtId="0" fontId="35" fillId="12" borderId="77" xfId="0" applyFont="1" applyFill="1" applyBorder="1" applyAlignment="1">
      <alignment vertical="center" wrapText="1"/>
    </xf>
    <xf numFmtId="0" fontId="8" fillId="9" borderId="142" xfId="0" applyFont="1" applyFill="1" applyBorder="1"/>
    <xf numFmtId="0" fontId="8" fillId="9" borderId="138" xfId="0" applyFont="1" applyFill="1" applyBorder="1"/>
    <xf numFmtId="0" fontId="8" fillId="9" borderId="140" xfId="0" applyFont="1" applyFill="1" applyBorder="1"/>
    <xf numFmtId="0" fontId="0" fillId="25" borderId="108" xfId="0" applyFill="1" applyBorder="1"/>
    <xf numFmtId="0" fontId="0" fillId="25" borderId="22" xfId="0" applyFill="1" applyBorder="1"/>
    <xf numFmtId="0" fontId="32" fillId="17" borderId="22" xfId="0" applyFont="1" applyFill="1" applyBorder="1"/>
    <xf numFmtId="0" fontId="41" fillId="17" borderId="144" xfId="0" applyFont="1" applyFill="1" applyBorder="1" applyAlignment="1">
      <alignment horizontal="center" vertical="center"/>
    </xf>
    <xf numFmtId="0" fontId="41" fillId="17" borderId="145" xfId="0" applyFont="1" applyFill="1" applyBorder="1" applyAlignment="1">
      <alignment horizontal="center" vertical="center"/>
    </xf>
    <xf numFmtId="0" fontId="41" fillId="17" borderId="146" xfId="0" applyFont="1" applyFill="1" applyBorder="1" applyAlignment="1">
      <alignment horizontal="center" vertical="center"/>
    </xf>
    <xf numFmtId="0" fontId="41" fillId="17" borderId="147" xfId="0" applyFont="1" applyFill="1" applyBorder="1" applyAlignment="1">
      <alignment horizontal="center" vertical="center"/>
    </xf>
    <xf numFmtId="0" fontId="41" fillId="17" borderId="148" xfId="0" applyFont="1" applyFill="1" applyBorder="1" applyAlignment="1">
      <alignment horizontal="center" vertical="center"/>
    </xf>
    <xf numFmtId="0" fontId="41" fillId="17" borderId="149" xfId="0" applyFont="1" applyFill="1" applyBorder="1" applyAlignment="1">
      <alignment horizontal="center" vertical="center"/>
    </xf>
    <xf numFmtId="0" fontId="41" fillId="17" borderId="150" xfId="0" applyFont="1" applyFill="1" applyBorder="1" applyAlignment="1">
      <alignment horizontal="center" vertical="center"/>
    </xf>
    <xf numFmtId="0" fontId="41" fillId="17" borderId="151" xfId="0" applyFont="1" applyFill="1" applyBorder="1" applyAlignment="1">
      <alignment horizontal="center" vertical="center"/>
    </xf>
    <xf numFmtId="0" fontId="41" fillId="17" borderId="152" xfId="0" applyFont="1" applyFill="1" applyBorder="1" applyAlignment="1">
      <alignment horizontal="center" vertical="center"/>
    </xf>
    <xf numFmtId="0" fontId="0" fillId="25" borderId="22" xfId="0" applyFill="1" applyBorder="1" applyAlignment="1">
      <alignment wrapText="1"/>
    </xf>
    <xf numFmtId="0" fontId="60" fillId="21" borderId="108" xfId="6" applyFont="1" applyFill="1" applyBorder="1" applyAlignment="1">
      <alignment vertical="center"/>
    </xf>
    <xf numFmtId="0" fontId="60" fillId="21" borderId="22" xfId="6" applyFont="1" applyFill="1" applyBorder="1" applyAlignment="1">
      <alignment vertical="center"/>
    </xf>
    <xf numFmtId="0" fontId="0" fillId="17" borderId="22" xfId="0" applyFill="1" applyBorder="1" applyAlignment="1">
      <alignment wrapText="1"/>
    </xf>
    <xf numFmtId="0" fontId="8" fillId="0" borderId="57" xfId="0" applyFont="1" applyBorder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19" borderId="119" xfId="0" applyFont="1" applyFill="1" applyBorder="1" applyProtection="1"/>
    <xf numFmtId="0" fontId="8" fillId="19" borderId="34" xfId="0" applyFont="1" applyFill="1" applyBorder="1" applyProtection="1"/>
    <xf numFmtId="0" fontId="8" fillId="19" borderId="107" xfId="0" applyFont="1" applyFill="1" applyBorder="1" applyProtection="1"/>
    <xf numFmtId="166" fontId="8" fillId="19" borderId="22" xfId="5" applyNumberFormat="1" applyFont="1" applyFill="1" applyBorder="1" applyProtection="1"/>
    <xf numFmtId="0" fontId="8" fillId="0" borderId="119" xfId="0" applyFont="1" applyBorder="1" applyProtection="1"/>
    <xf numFmtId="0" fontId="8" fillId="22" borderId="34" xfId="0" applyFont="1" applyFill="1" applyBorder="1" applyProtection="1"/>
    <xf numFmtId="0" fontId="8" fillId="22" borderId="107" xfId="0" applyFont="1" applyFill="1" applyBorder="1" applyProtection="1"/>
    <xf numFmtId="0" fontId="8" fillId="21" borderId="119" xfId="0" applyFont="1" applyFill="1" applyBorder="1" applyProtection="1"/>
    <xf numFmtId="0" fontId="8" fillId="21" borderId="34" xfId="0" applyFont="1" applyFill="1" applyBorder="1" applyProtection="1"/>
    <xf numFmtId="0" fontId="0" fillId="21" borderId="107" xfId="0" applyFont="1" applyFill="1" applyBorder="1" applyProtection="1"/>
    <xf numFmtId="0" fontId="8" fillId="21" borderId="116" xfId="0" applyFont="1" applyFill="1" applyBorder="1" applyProtection="1"/>
    <xf numFmtId="0" fontId="8" fillId="21" borderId="18" xfId="0" applyFont="1" applyFill="1" applyBorder="1" applyProtection="1"/>
    <xf numFmtId="0" fontId="0" fillId="21" borderId="110" xfId="0" applyFont="1" applyFill="1" applyBorder="1" applyProtection="1"/>
    <xf numFmtId="4" fontId="14" fillId="5" borderId="41" xfId="3" applyNumberFormat="1" applyFont="1" applyBorder="1" applyAlignment="1" applyProtection="1">
      <alignment horizontal="right" vertical="top" wrapText="1"/>
      <protection locked="0"/>
    </xf>
    <xf numFmtId="4" fontId="14" fillId="5" borderId="17" xfId="3" applyNumberFormat="1" applyFont="1" applyAlignment="1" applyProtection="1">
      <alignment horizontal="right" vertical="top" wrapText="1"/>
      <protection locked="0"/>
    </xf>
    <xf numFmtId="4" fontId="14" fillId="5" borderId="98" xfId="3" applyNumberFormat="1" applyFont="1" applyBorder="1" applyAlignment="1" applyProtection="1">
      <alignment horizontal="right" vertical="top" wrapText="1"/>
      <protection locked="0"/>
    </xf>
    <xf numFmtId="4" fontId="14" fillId="5" borderId="95" xfId="3" applyNumberFormat="1" applyFont="1" applyBorder="1" applyAlignment="1" applyProtection="1">
      <alignment horizontal="right" vertical="top" wrapText="1"/>
      <protection locked="0"/>
    </xf>
    <xf numFmtId="0" fontId="0" fillId="18" borderId="0" xfId="0" applyFill="1" applyAlignment="1" applyProtection="1">
      <alignment horizontal="left" vertical="top" wrapText="1"/>
    </xf>
    <xf numFmtId="0" fontId="32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9" fillId="18" borderId="0" xfId="0" applyFont="1" applyFill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left" vertical="top" wrapText="1"/>
    </xf>
    <xf numFmtId="0" fontId="9" fillId="18" borderId="15" xfId="0" applyFont="1" applyFill="1" applyBorder="1" applyAlignment="1" applyProtection="1">
      <alignment horizontal="left" vertical="top" wrapText="1"/>
    </xf>
    <xf numFmtId="0" fontId="9" fillId="18" borderId="26" xfId="0" applyFont="1" applyFill="1" applyBorder="1" applyAlignment="1" applyProtection="1">
      <alignment horizontal="left" vertical="top" wrapText="1"/>
    </xf>
    <xf numFmtId="0" fontId="9" fillId="18" borderId="5" xfId="0" applyFont="1" applyFill="1" applyBorder="1" applyAlignment="1" applyProtection="1">
      <alignment horizontal="left" vertical="top" wrapText="1"/>
    </xf>
    <xf numFmtId="0" fontId="9" fillId="18" borderId="0" xfId="0" applyFont="1" applyFill="1" applyBorder="1" applyAlignment="1" applyProtection="1">
      <alignment horizontal="center" vertical="top" wrapText="1"/>
    </xf>
    <xf numFmtId="0" fontId="9" fillId="18" borderId="27" xfId="0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168" fontId="0" fillId="0" borderId="14" xfId="5" applyNumberFormat="1" applyFont="1" applyBorder="1" applyAlignment="1" applyProtection="1">
      <alignment horizontal="center" vertical="center" wrapText="1"/>
    </xf>
    <xf numFmtId="168" fontId="0" fillId="0" borderId="23" xfId="5" applyNumberFormat="1" applyFont="1" applyBorder="1" applyAlignment="1" applyProtection="1">
      <alignment horizontal="center" vertical="center" wrapText="1"/>
    </xf>
    <xf numFmtId="168" fontId="0" fillId="0" borderId="13" xfId="5" applyNumberFormat="1" applyFont="1" applyBorder="1" applyAlignment="1" applyProtection="1">
      <alignment horizontal="center" vertical="center" wrapText="1"/>
    </xf>
    <xf numFmtId="168" fontId="14" fillId="5" borderId="81" xfId="5" applyNumberFormat="1" applyFont="1" applyFill="1" applyBorder="1" applyAlignment="1" applyProtection="1">
      <alignment horizontal="center" vertical="center" wrapText="1"/>
    </xf>
    <xf numFmtId="168" fontId="14" fillId="5" borderId="53" xfId="5" applyNumberFormat="1" applyFont="1" applyFill="1" applyBorder="1" applyAlignment="1" applyProtection="1">
      <alignment horizontal="center" vertical="center" wrapText="1"/>
    </xf>
    <xf numFmtId="168" fontId="55" fillId="20" borderId="53" xfId="5" applyNumberFormat="1" applyFont="1" applyFill="1" applyBorder="1" applyAlignment="1" applyProtection="1">
      <alignment horizontal="center" vertical="center" wrapText="1"/>
    </xf>
    <xf numFmtId="9" fontId="32" fillId="0" borderId="0" xfId="4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168" fontId="0" fillId="0" borderId="24" xfId="5" applyNumberFormat="1" applyFont="1" applyBorder="1" applyAlignment="1" applyProtection="1">
      <alignment horizontal="center" vertical="center" wrapText="1"/>
    </xf>
    <xf numFmtId="168" fontId="0" fillId="0" borderId="0" xfId="5" applyNumberFormat="1" applyFont="1" applyBorder="1" applyAlignment="1" applyProtection="1">
      <alignment horizontal="center" vertical="center" wrapText="1"/>
    </xf>
    <xf numFmtId="168" fontId="0" fillId="0" borderId="6" xfId="5" applyNumberFormat="1" applyFont="1" applyBorder="1" applyAlignment="1" applyProtection="1">
      <alignment horizontal="center" vertical="center" wrapText="1"/>
    </xf>
    <xf numFmtId="168" fontId="14" fillId="5" borderId="41" xfId="5" applyNumberFormat="1" applyFont="1" applyFill="1" applyBorder="1" applyAlignment="1" applyProtection="1">
      <alignment horizontal="center" vertical="center" wrapText="1"/>
    </xf>
    <xf numFmtId="168" fontId="14" fillId="5" borderId="17" xfId="5" applyNumberFormat="1" applyFont="1" applyFill="1" applyBorder="1" applyAlignment="1" applyProtection="1">
      <alignment horizontal="center" vertical="center" wrapText="1"/>
    </xf>
    <xf numFmtId="168" fontId="55" fillId="20" borderId="17" xfId="5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top" wrapText="1"/>
    </xf>
    <xf numFmtId="168" fontId="0" fillId="0" borderId="15" xfId="5" applyNumberFormat="1" applyFont="1" applyBorder="1" applyAlignment="1" applyProtection="1">
      <alignment horizontal="center" vertical="center" wrapText="1"/>
    </xf>
    <xf numFmtId="168" fontId="0" fillId="0" borderId="26" xfId="5" applyNumberFormat="1" applyFont="1" applyBorder="1" applyAlignment="1" applyProtection="1">
      <alignment horizontal="center" vertical="center" wrapText="1"/>
    </xf>
    <xf numFmtId="168" fontId="0" fillId="0" borderId="5" xfId="5" applyNumberFormat="1" applyFont="1" applyBorder="1" applyAlignment="1" applyProtection="1">
      <alignment horizontal="center" vertical="center" wrapText="1"/>
    </xf>
    <xf numFmtId="168" fontId="14" fillId="5" borderId="82" xfId="5" applyNumberFormat="1" applyFont="1" applyFill="1" applyBorder="1" applyAlignment="1" applyProtection="1">
      <alignment horizontal="center" vertical="center" wrapText="1"/>
    </xf>
    <xf numFmtId="168" fontId="55" fillId="20" borderId="54" xfId="5" applyNumberFormat="1" applyFont="1" applyFill="1" applyBorder="1" applyAlignment="1" applyProtection="1">
      <alignment horizontal="center" vertical="center" wrapText="1"/>
    </xf>
    <xf numFmtId="169" fontId="0" fillId="0" borderId="14" xfId="0" applyNumberFormat="1" applyBorder="1" applyAlignment="1" applyProtection="1">
      <alignment horizontal="center" vertical="center" wrapText="1"/>
    </xf>
    <xf numFmtId="169" fontId="0" fillId="0" borderId="23" xfId="0" applyNumberFormat="1" applyBorder="1" applyAlignment="1" applyProtection="1">
      <alignment horizontal="center" vertical="center" wrapText="1"/>
    </xf>
    <xf numFmtId="169" fontId="0" fillId="0" borderId="13" xfId="0" applyNumberFormat="1" applyBorder="1" applyAlignment="1" applyProtection="1">
      <alignment horizontal="center" vertical="center" wrapText="1"/>
    </xf>
    <xf numFmtId="169" fontId="14" fillId="5" borderId="81" xfId="3" applyNumberFormat="1" applyFont="1" applyBorder="1" applyAlignment="1" applyProtection="1">
      <alignment horizontal="center" vertical="center" wrapText="1"/>
    </xf>
    <xf numFmtId="169" fontId="14" fillId="5" borderId="53" xfId="3" applyNumberFormat="1" applyFont="1" applyBorder="1" applyAlignment="1" applyProtection="1">
      <alignment horizontal="center" vertical="center" wrapText="1"/>
    </xf>
    <xf numFmtId="169" fontId="55" fillId="20" borderId="53" xfId="3" applyNumberFormat="1" applyFont="1" applyFill="1" applyBorder="1" applyAlignment="1" applyProtection="1">
      <alignment horizontal="center" vertical="center" wrapText="1"/>
    </xf>
    <xf numFmtId="169" fontId="0" fillId="0" borderId="24" xfId="0" applyNumberFormat="1" applyBorder="1" applyAlignment="1" applyProtection="1">
      <alignment horizontal="center" vertical="center" wrapText="1"/>
    </xf>
    <xf numFmtId="169" fontId="0" fillId="0" borderId="0" xfId="0" applyNumberFormat="1" applyBorder="1" applyAlignment="1" applyProtection="1">
      <alignment horizontal="center" vertical="center" wrapText="1"/>
    </xf>
    <xf numFmtId="169" fontId="0" fillId="0" borderId="6" xfId="0" applyNumberFormat="1" applyBorder="1" applyAlignment="1" applyProtection="1">
      <alignment horizontal="center" vertical="center" wrapText="1"/>
    </xf>
    <xf numFmtId="169" fontId="14" fillId="5" borderId="41" xfId="3" applyNumberFormat="1" applyFont="1" applyBorder="1" applyAlignment="1" applyProtection="1">
      <alignment horizontal="center" vertical="center" wrapText="1"/>
    </xf>
    <xf numFmtId="169" fontId="14" fillId="5" borderId="17" xfId="3" applyNumberFormat="1" applyFont="1" applyBorder="1" applyAlignment="1" applyProtection="1">
      <alignment horizontal="center" vertical="center" wrapText="1"/>
    </xf>
    <xf numFmtId="169" fontId="55" fillId="20" borderId="17" xfId="3" applyNumberFormat="1" applyFont="1" applyFill="1" applyBorder="1" applyAlignment="1" applyProtection="1">
      <alignment horizontal="center" vertical="center" wrapText="1"/>
    </xf>
    <xf numFmtId="169" fontId="0" fillId="0" borderId="15" xfId="0" applyNumberFormat="1" applyBorder="1" applyAlignment="1" applyProtection="1">
      <alignment horizontal="center" vertical="center" wrapText="1"/>
    </xf>
    <xf numFmtId="169" fontId="0" fillId="0" borderId="26" xfId="0" applyNumberFormat="1" applyBorder="1" applyAlignment="1" applyProtection="1">
      <alignment horizontal="center" vertical="center" wrapText="1"/>
    </xf>
    <xf numFmtId="169" fontId="0" fillId="0" borderId="5" xfId="0" applyNumberFormat="1" applyBorder="1" applyAlignment="1" applyProtection="1">
      <alignment horizontal="center" vertical="center" wrapText="1"/>
    </xf>
    <xf numFmtId="169" fontId="14" fillId="5" borderId="82" xfId="3" applyNumberFormat="1" applyFont="1" applyBorder="1" applyAlignment="1" applyProtection="1">
      <alignment horizontal="center" vertical="center" wrapText="1"/>
    </xf>
    <xf numFmtId="169" fontId="14" fillId="5" borderId="54" xfId="3" applyNumberFormat="1" applyFont="1" applyBorder="1" applyAlignment="1" applyProtection="1">
      <alignment horizontal="center" vertical="center" wrapText="1"/>
    </xf>
    <xf numFmtId="169" fontId="55" fillId="20" borderId="54" xfId="3" applyNumberFormat="1" applyFont="1" applyFill="1" applyBorder="1" applyAlignment="1" applyProtection="1">
      <alignment horizontal="center" vertical="center" wrapText="1"/>
    </xf>
    <xf numFmtId="9" fontId="32" fillId="0" borderId="18" xfId="0" applyNumberFormat="1" applyFont="1" applyBorder="1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top" wrapText="1"/>
    </xf>
    <xf numFmtId="0" fontId="32" fillId="0" borderId="0" xfId="0" applyFont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32" fillId="0" borderId="21" xfId="0" applyFont="1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8" fillId="16" borderId="28" xfId="0" applyFont="1" applyFill="1" applyBorder="1" applyAlignment="1" applyProtection="1">
      <alignment horizontal="left" vertical="top" wrapText="1"/>
    </xf>
    <xf numFmtId="0" fontId="0" fillId="16" borderId="29" xfId="0" applyFill="1" applyBorder="1" applyAlignment="1" applyProtection="1">
      <alignment horizontal="left" vertical="top" wrapText="1"/>
    </xf>
    <xf numFmtId="0" fontId="0" fillId="16" borderId="30" xfId="0" applyFill="1" applyBorder="1" applyAlignment="1" applyProtection="1">
      <alignment horizontal="left" vertical="top" wrapText="1"/>
    </xf>
    <xf numFmtId="0" fontId="53" fillId="16" borderId="29" xfId="0" applyFont="1" applyFill="1" applyBorder="1" applyAlignment="1" applyProtection="1">
      <alignment horizontal="left" vertical="top" wrapText="1"/>
    </xf>
    <xf numFmtId="0" fontId="14" fillId="16" borderId="130" xfId="3" applyFont="1" applyFill="1" applyBorder="1" applyAlignment="1" applyProtection="1">
      <alignment horizontal="right" vertical="top" wrapText="1"/>
    </xf>
    <xf numFmtId="0" fontId="55" fillId="16" borderId="130" xfId="3" applyFont="1" applyFill="1" applyBorder="1" applyAlignment="1" applyProtection="1">
      <alignment horizontal="right" vertical="top" wrapText="1"/>
    </xf>
    <xf numFmtId="0" fontId="0" fillId="7" borderId="6" xfId="0" applyFill="1" applyBorder="1" applyAlignment="1" applyProtection="1">
      <alignment horizontal="left" vertical="top" wrapText="1"/>
    </xf>
    <xf numFmtId="168" fontId="56" fillId="20" borderId="24" xfId="5" applyNumberFormat="1" applyFont="1" applyFill="1" applyBorder="1" applyAlignment="1" applyProtection="1">
      <alignment horizontal="center" vertical="center" wrapText="1"/>
    </xf>
    <xf numFmtId="168" fontId="56" fillId="20" borderId="0" xfId="5" applyNumberFormat="1" applyFont="1" applyFill="1" applyBorder="1" applyAlignment="1" applyProtection="1">
      <alignment horizontal="center" vertical="center" wrapText="1"/>
    </xf>
    <xf numFmtId="168" fontId="56" fillId="20" borderId="6" xfId="5" applyNumberFormat="1" applyFont="1" applyFill="1" applyBorder="1" applyAlignment="1" applyProtection="1">
      <alignment horizontal="center" vertical="center" wrapText="1"/>
    </xf>
    <xf numFmtId="168" fontId="55" fillId="23" borderId="128" xfId="5" applyNumberFormat="1" applyFont="1" applyFill="1" applyBorder="1" applyAlignment="1" applyProtection="1">
      <alignment horizontal="center" vertical="center" wrapText="1"/>
    </xf>
    <xf numFmtId="168" fontId="55" fillId="23" borderId="129" xfId="5" applyNumberFormat="1" applyFont="1" applyFill="1" applyBorder="1" applyAlignment="1" applyProtection="1">
      <alignment horizontal="center" vertical="center" wrapText="1"/>
    </xf>
    <xf numFmtId="168" fontId="55" fillId="20" borderId="129" xfId="5" applyNumberFormat="1" applyFont="1" applyFill="1" applyBorder="1" applyAlignment="1" applyProtection="1">
      <alignment horizontal="center" vertical="center" wrapText="1"/>
    </xf>
    <xf numFmtId="9" fontId="32" fillId="0" borderId="24" xfId="0" applyNumberFormat="1" applyFont="1" applyBorder="1" applyAlignment="1" applyProtection="1">
      <alignment horizontal="left" vertical="top" wrapText="1"/>
    </xf>
    <xf numFmtId="168" fontId="55" fillId="23" borderId="41" xfId="5" applyNumberFormat="1" applyFont="1" applyFill="1" applyBorder="1" applyAlignment="1" applyProtection="1">
      <alignment horizontal="center" vertical="center" wrapText="1"/>
    </xf>
    <xf numFmtId="168" fontId="55" fillId="23" borderId="17" xfId="5" applyNumberFormat="1" applyFont="1" applyFill="1" applyBorder="1" applyAlignment="1" applyProtection="1">
      <alignment horizontal="center" vertical="center" wrapText="1"/>
    </xf>
    <xf numFmtId="0" fontId="0" fillId="7" borderId="5" xfId="0" applyFill="1" applyBorder="1" applyAlignment="1" applyProtection="1">
      <alignment horizontal="left" vertical="top" wrapText="1"/>
    </xf>
    <xf numFmtId="168" fontId="56" fillId="20" borderId="15" xfId="5" applyNumberFormat="1" applyFont="1" applyFill="1" applyBorder="1" applyAlignment="1" applyProtection="1">
      <alignment horizontal="center" vertical="center" wrapText="1"/>
    </xf>
    <xf numFmtId="168" fontId="56" fillId="20" borderId="26" xfId="5" applyNumberFormat="1" applyFont="1" applyFill="1" applyBorder="1" applyAlignment="1" applyProtection="1">
      <alignment horizontal="center" vertical="center" wrapText="1"/>
    </xf>
    <xf numFmtId="168" fontId="56" fillId="20" borderId="5" xfId="5" applyNumberFormat="1" applyFont="1" applyFill="1" applyBorder="1" applyAlignment="1" applyProtection="1">
      <alignment horizontal="center" vertical="center" wrapText="1"/>
    </xf>
    <xf numFmtId="168" fontId="55" fillId="23" borderId="82" xfId="5" applyNumberFormat="1" applyFont="1" applyFill="1" applyBorder="1" applyAlignment="1" applyProtection="1">
      <alignment horizontal="center" vertical="center" wrapText="1"/>
    </xf>
    <xf numFmtId="168" fontId="55" fillId="23" borderId="54" xfId="5" applyNumberFormat="1" applyFont="1" applyFill="1" applyBorder="1" applyAlignment="1" applyProtection="1">
      <alignment horizontal="center" vertical="center" wrapText="1"/>
    </xf>
    <xf numFmtId="168" fontId="55" fillId="23" borderId="81" xfId="5" applyNumberFormat="1" applyFont="1" applyFill="1" applyBorder="1" applyAlignment="1" applyProtection="1">
      <alignment horizontal="center" vertical="center" wrapText="1"/>
    </xf>
    <xf numFmtId="168" fontId="55" fillId="23" borderId="53" xfId="5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top" wrapText="1"/>
    </xf>
    <xf numFmtId="169" fontId="56" fillId="20" borderId="24" xfId="5" applyNumberFormat="1" applyFont="1" applyFill="1" applyBorder="1" applyAlignment="1" applyProtection="1">
      <alignment horizontal="center" vertical="center" wrapText="1"/>
    </xf>
    <xf numFmtId="169" fontId="56" fillId="20" borderId="0" xfId="5" applyNumberFormat="1" applyFont="1" applyFill="1" applyBorder="1" applyAlignment="1" applyProtection="1">
      <alignment horizontal="center" vertical="center" wrapText="1"/>
    </xf>
    <xf numFmtId="169" fontId="56" fillId="20" borderId="6" xfId="5" applyNumberFormat="1" applyFont="1" applyFill="1" applyBorder="1" applyAlignment="1" applyProtection="1">
      <alignment horizontal="center" vertical="center" wrapText="1"/>
    </xf>
    <xf numFmtId="169" fontId="55" fillId="23" borderId="81" xfId="5" applyNumberFormat="1" applyFont="1" applyFill="1" applyBorder="1" applyAlignment="1" applyProtection="1">
      <alignment horizontal="center" vertical="center" wrapText="1"/>
    </xf>
    <xf numFmtId="169" fontId="55" fillId="23" borderId="53" xfId="5" applyNumberFormat="1" applyFont="1" applyFill="1" applyBorder="1" applyAlignment="1" applyProtection="1">
      <alignment horizontal="center" vertical="center" wrapText="1"/>
    </xf>
    <xf numFmtId="169" fontId="55" fillId="20" borderId="53" xfId="5" applyNumberFormat="1" applyFont="1" applyFill="1" applyBorder="1" applyAlignment="1" applyProtection="1">
      <alignment horizontal="center" vertical="center" wrapText="1"/>
    </xf>
    <xf numFmtId="169" fontId="55" fillId="23" borderId="41" xfId="5" applyNumberFormat="1" applyFont="1" applyFill="1" applyBorder="1" applyAlignment="1" applyProtection="1">
      <alignment horizontal="center" vertical="center" wrapText="1"/>
    </xf>
    <xf numFmtId="169" fontId="55" fillId="23" borderId="17" xfId="5" applyNumberFormat="1" applyFont="1" applyFill="1" applyBorder="1" applyAlignment="1" applyProtection="1">
      <alignment horizontal="center" vertical="center" wrapText="1"/>
    </xf>
    <xf numFmtId="169" fontId="55" fillId="20" borderId="17" xfId="5" applyNumberFormat="1" applyFont="1" applyFill="1" applyBorder="1" applyAlignment="1" applyProtection="1">
      <alignment horizontal="center" vertical="center" wrapText="1"/>
    </xf>
    <xf numFmtId="169" fontId="56" fillId="20" borderId="15" xfId="5" applyNumberFormat="1" applyFont="1" applyFill="1" applyBorder="1" applyAlignment="1" applyProtection="1">
      <alignment horizontal="center" vertical="center" wrapText="1"/>
    </xf>
    <xf numFmtId="169" fontId="56" fillId="20" borderId="26" xfId="5" applyNumberFormat="1" applyFont="1" applyFill="1" applyBorder="1" applyAlignment="1" applyProtection="1">
      <alignment horizontal="center" vertical="center" wrapText="1"/>
    </xf>
    <xf numFmtId="169" fontId="56" fillId="20" borderId="5" xfId="5" applyNumberFormat="1" applyFont="1" applyFill="1" applyBorder="1" applyAlignment="1" applyProtection="1">
      <alignment horizontal="center" vertical="center" wrapText="1"/>
    </xf>
    <xf numFmtId="169" fontId="55" fillId="23" borderId="82" xfId="5" applyNumberFormat="1" applyFont="1" applyFill="1" applyBorder="1" applyAlignment="1" applyProtection="1">
      <alignment horizontal="center" vertical="center" wrapText="1"/>
    </xf>
    <xf numFmtId="169" fontId="55" fillId="23" borderId="54" xfId="5" applyNumberFormat="1" applyFont="1" applyFill="1" applyBorder="1" applyAlignment="1" applyProtection="1">
      <alignment horizontal="center" vertical="center" wrapText="1"/>
    </xf>
    <xf numFmtId="169" fontId="55" fillId="20" borderId="54" xfId="5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left" vertical="top" wrapText="1"/>
    </xf>
    <xf numFmtId="0" fontId="0" fillId="0" borderId="6" xfId="0" applyFont="1" applyBorder="1" applyAlignment="1">
      <alignment horizontal="left"/>
    </xf>
    <xf numFmtId="3" fontId="7" fillId="4" borderId="77" xfId="2" applyNumberFormat="1" applyBorder="1" applyAlignment="1">
      <alignment horizontal="right"/>
    </xf>
    <xf numFmtId="0" fontId="34" fillId="17" borderId="153" xfId="0" applyFont="1" applyFill="1" applyBorder="1" applyAlignment="1">
      <alignment horizontal="center" vertical="center"/>
    </xf>
    <xf numFmtId="0" fontId="34" fillId="0" borderId="153" xfId="0" applyFont="1" applyBorder="1" applyAlignment="1">
      <alignment horizontal="center" vertical="center"/>
    </xf>
    <xf numFmtId="0" fontId="34" fillId="0" borderId="122" xfId="0" applyFont="1" applyFill="1" applyBorder="1" applyAlignment="1">
      <alignment horizontal="center" vertical="center"/>
    </xf>
    <xf numFmtId="0" fontId="34" fillId="0" borderId="121" xfId="0" applyFont="1" applyFill="1" applyBorder="1" applyAlignment="1">
      <alignment horizontal="center" vertical="center"/>
    </xf>
    <xf numFmtId="3" fontId="7" fillId="4" borderId="90" xfId="2" applyNumberFormat="1" applyBorder="1" applyProtection="1">
      <protection locked="0"/>
    </xf>
    <xf numFmtId="3" fontId="7" fillId="4" borderId="36" xfId="2" applyNumberFormat="1" applyBorder="1" applyProtection="1">
      <protection locked="0"/>
    </xf>
    <xf numFmtId="3" fontId="7" fillId="4" borderId="75" xfId="2" applyNumberFormat="1" applyBorder="1" applyProtection="1">
      <protection locked="0"/>
    </xf>
    <xf numFmtId="0" fontId="5" fillId="26" borderId="4" xfId="0" applyFont="1" applyFill="1" applyBorder="1" applyAlignment="1">
      <alignment horizontal="left" vertical="top" wrapText="1"/>
    </xf>
    <xf numFmtId="0" fontId="5" fillId="26" borderId="5" xfId="0" applyFont="1" applyFill="1" applyBorder="1" applyAlignment="1">
      <alignment horizontal="justify" vertical="top" wrapText="1"/>
    </xf>
    <xf numFmtId="0" fontId="5" fillId="26" borderId="5" xfId="0" applyFont="1" applyFill="1" applyBorder="1" applyAlignment="1">
      <alignment horizontal="center" vertical="top" wrapText="1"/>
    </xf>
    <xf numFmtId="0" fontId="5" fillId="26" borderId="6" xfId="0" applyFont="1" applyFill="1" applyBorder="1" applyAlignment="1">
      <alignment horizontal="justify" vertical="top" wrapText="1"/>
    </xf>
    <xf numFmtId="0" fontId="5" fillId="26" borderId="24" xfId="0" applyFont="1" applyFill="1" applyBorder="1" applyAlignment="1">
      <alignment horizontal="left" vertical="top" wrapText="1"/>
    </xf>
    <xf numFmtId="0" fontId="5" fillId="26" borderId="66" xfId="0" applyFont="1" applyFill="1" applyBorder="1" applyAlignment="1">
      <alignment horizontal="justify" vertical="top" wrapText="1"/>
    </xf>
    <xf numFmtId="0" fontId="5" fillId="26" borderId="6" xfId="0" applyFont="1" applyFill="1" applyBorder="1" applyAlignment="1">
      <alignment horizontal="center" vertical="top" wrapText="1"/>
    </xf>
    <xf numFmtId="0" fontId="5" fillId="26" borderId="66" xfId="0" applyFont="1" applyFill="1" applyBorder="1" applyAlignment="1">
      <alignment horizontal="left" vertical="top" wrapText="1"/>
    </xf>
    <xf numFmtId="0" fontId="5" fillId="26" borderId="66" xfId="0" applyFont="1" applyFill="1" applyBorder="1" applyAlignment="1">
      <alignment horizontal="center" vertical="top" wrapText="1"/>
    </xf>
    <xf numFmtId="2" fontId="3" fillId="17" borderId="6" xfId="1" applyNumberFormat="1" applyFont="1" applyFill="1" applyBorder="1" applyAlignment="1">
      <alignment vertical="top" wrapText="1"/>
    </xf>
    <xf numFmtId="2" fontId="3" fillId="17" borderId="66" xfId="1" applyNumberFormat="1" applyFont="1" applyFill="1" applyBorder="1" applyAlignment="1">
      <alignment vertical="top" wrapText="1"/>
    </xf>
    <xf numFmtId="0" fontId="25" fillId="0" borderId="0" xfId="0" applyFont="1" applyAlignment="1" applyProtection="1">
      <alignment vertical="center"/>
    </xf>
    <xf numFmtId="0" fontId="0" fillId="0" borderId="0" xfId="0" applyProtection="1"/>
    <xf numFmtId="166" fontId="8" fillId="19" borderId="135" xfId="5" applyNumberFormat="1" applyFont="1" applyFill="1" applyBorder="1" applyProtection="1"/>
    <xf numFmtId="0" fontId="54" fillId="0" borderId="0" xfId="0" applyFont="1" applyFill="1" applyProtection="1"/>
    <xf numFmtId="0" fontId="8" fillId="0" borderId="119" xfId="0" applyFont="1" applyFill="1" applyBorder="1" applyProtection="1"/>
    <xf numFmtId="0" fontId="0" fillId="0" borderId="119" xfId="0" applyBorder="1" applyProtection="1"/>
    <xf numFmtId="0" fontId="0" fillId="0" borderId="34" xfId="0" applyBorder="1" applyProtection="1"/>
    <xf numFmtId="0" fontId="0" fillId="17" borderId="107" xfId="0" applyFont="1" applyFill="1" applyBorder="1" applyProtection="1"/>
    <xf numFmtId="0" fontId="0" fillId="0" borderId="0" xfId="0" applyFill="1" applyBorder="1" applyProtection="1"/>
    <xf numFmtId="0" fontId="0" fillId="17" borderId="107" xfId="0" applyFill="1" applyBorder="1" applyProtection="1"/>
    <xf numFmtId="0" fontId="0" fillId="0" borderId="0" xfId="0" applyFill="1" applyProtection="1"/>
    <xf numFmtId="0" fontId="0" fillId="0" borderId="0" xfId="0" applyAlignment="1" applyProtection="1"/>
    <xf numFmtId="164" fontId="38" fillId="17" borderId="154" xfId="7" applyFont="1" applyFill="1" applyBorder="1" applyAlignment="1">
      <alignment horizontal="left" vertical="center"/>
    </xf>
    <xf numFmtId="164" fontId="38" fillId="17" borderId="157" xfId="7" applyFont="1" applyFill="1" applyBorder="1" applyAlignment="1">
      <alignment horizontal="left" vertical="center"/>
    </xf>
    <xf numFmtId="0" fontId="35" fillId="12" borderId="66" xfId="0" applyFont="1" applyFill="1" applyBorder="1" applyAlignment="1">
      <alignment horizontal="left" vertical="center"/>
    </xf>
    <xf numFmtId="0" fontId="38" fillId="17" borderId="155" xfId="0" applyFont="1" applyFill="1" applyBorder="1" applyAlignment="1">
      <alignment horizontal="center" vertical="center"/>
    </xf>
    <xf numFmtId="0" fontId="38" fillId="17" borderId="126" xfId="0" applyFont="1" applyFill="1" applyBorder="1" applyAlignment="1">
      <alignment horizontal="center" vertical="center"/>
    </xf>
    <xf numFmtId="164" fontId="55" fillId="20" borderId="156" xfId="7" applyFont="1" applyFill="1" applyBorder="1" applyAlignment="1" applyProtection="1">
      <alignment horizontal="center" vertical="center" wrapText="1"/>
    </xf>
    <xf numFmtId="0" fontId="35" fillId="12" borderId="66" xfId="0" applyFont="1" applyFill="1" applyBorder="1" applyAlignment="1">
      <alignment horizontal="center" vertical="center"/>
    </xf>
    <xf numFmtId="164" fontId="38" fillId="17" borderId="155" xfId="7" applyFont="1" applyFill="1" applyBorder="1" applyAlignment="1">
      <alignment horizontal="center" vertical="center"/>
    </xf>
    <xf numFmtId="164" fontId="38" fillId="17" borderId="126" xfId="7" applyFont="1" applyFill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166" fontId="61" fillId="19" borderId="22" xfId="5" applyNumberFormat="1" applyFont="1" applyFill="1" applyBorder="1" applyProtection="1"/>
    <xf numFmtId="166" fontId="61" fillId="19" borderId="135" xfId="5" applyNumberFormat="1" applyFont="1" applyFill="1" applyBorder="1" applyProtection="1"/>
    <xf numFmtId="166" fontId="56" fillId="22" borderId="22" xfId="5" applyNumberFormat="1" applyFont="1" applyFill="1" applyBorder="1" applyProtection="1"/>
    <xf numFmtId="166" fontId="56" fillId="22" borderId="135" xfId="5" applyNumberFormat="1" applyFont="1" applyFill="1" applyBorder="1" applyProtection="1"/>
    <xf numFmtId="166" fontId="62" fillId="21" borderId="22" xfId="5" applyNumberFormat="1" applyFont="1" applyFill="1" applyBorder="1" applyProtection="1"/>
    <xf numFmtId="166" fontId="62" fillId="21" borderId="135" xfId="5" applyNumberFormat="1" applyFont="1" applyFill="1" applyBorder="1" applyProtection="1"/>
    <xf numFmtId="166" fontId="62" fillId="21" borderId="22" xfId="5" applyNumberFormat="1" applyFont="1" applyFill="1" applyBorder="1" applyAlignment="1" applyProtection="1">
      <alignment horizontal="center"/>
    </xf>
    <xf numFmtId="166" fontId="62" fillId="21" borderId="135" xfId="5" applyNumberFormat="1" applyFont="1" applyFill="1" applyBorder="1" applyAlignment="1" applyProtection="1">
      <alignment horizontal="center"/>
    </xf>
    <xf numFmtId="166" fontId="62" fillId="21" borderId="83" xfId="5" applyNumberFormat="1" applyFont="1" applyFill="1" applyBorder="1" applyProtection="1"/>
    <xf numFmtId="166" fontId="62" fillId="21" borderId="143" xfId="5" applyNumberFormat="1" applyFont="1" applyFill="1" applyBorder="1" applyProtection="1"/>
    <xf numFmtId="166" fontId="62" fillId="21" borderId="136" xfId="5" applyNumberFormat="1" applyFont="1" applyFill="1" applyBorder="1" applyProtection="1"/>
    <xf numFmtId="0" fontId="66" fillId="13" borderId="6" xfId="0" applyFont="1" applyFill="1" applyBorder="1" applyAlignment="1">
      <alignment horizontal="center" vertical="center"/>
    </xf>
    <xf numFmtId="3" fontId="67" fillId="14" borderId="28" xfId="0" applyNumberFormat="1" applyFont="1" applyFill="1" applyBorder="1" applyAlignment="1">
      <alignment horizontal="center" vertical="center"/>
    </xf>
    <xf numFmtId="3" fontId="67" fillId="14" borderId="30" xfId="0" applyNumberFormat="1" applyFont="1" applyFill="1" applyBorder="1" applyAlignment="1">
      <alignment horizontal="center" vertical="center"/>
    </xf>
    <xf numFmtId="0" fontId="66" fillId="22" borderId="24" xfId="0" applyFont="1" applyFill="1" applyBorder="1" applyAlignment="1">
      <alignment horizontal="center" vertical="center"/>
    </xf>
    <xf numFmtId="3" fontId="66" fillId="22" borderId="24" xfId="0" applyNumberFormat="1" applyFont="1" applyFill="1" applyBorder="1" applyAlignment="1">
      <alignment horizontal="center" vertical="center"/>
    </xf>
    <xf numFmtId="3" fontId="66" fillId="22" borderId="6" xfId="0" applyNumberFormat="1" applyFont="1" applyFill="1" applyBorder="1" applyAlignment="1">
      <alignment horizontal="center" vertical="center"/>
    </xf>
    <xf numFmtId="0" fontId="66" fillId="22" borderId="122" xfId="0" applyFont="1" applyFill="1" applyBorder="1" applyAlignment="1">
      <alignment horizontal="center" vertical="center"/>
    </xf>
    <xf numFmtId="0" fontId="66" fillId="22" borderId="121" xfId="0" applyFont="1" applyFill="1" applyBorder="1" applyAlignment="1">
      <alignment horizontal="center" vertical="center"/>
    </xf>
    <xf numFmtId="0" fontId="34" fillId="17" borderId="24" xfId="0" applyFont="1" applyFill="1" applyBorder="1" applyAlignment="1">
      <alignment horizontal="center" vertical="center"/>
    </xf>
    <xf numFmtId="0" fontId="34" fillId="17" borderId="122" xfId="0" applyFont="1" applyFill="1" applyBorder="1" applyAlignment="1">
      <alignment horizontal="center" vertical="center"/>
    </xf>
    <xf numFmtId="0" fontId="34" fillId="17" borderId="123" xfId="0" applyFont="1" applyFill="1" applyBorder="1" applyAlignment="1">
      <alignment horizontal="center" vertical="center"/>
    </xf>
    <xf numFmtId="0" fontId="34" fillId="17" borderId="88" xfId="3" applyFont="1" applyFill="1" applyBorder="1" applyAlignment="1">
      <alignment horizontal="center"/>
    </xf>
    <xf numFmtId="0" fontId="34" fillId="17" borderId="127" xfId="3" applyFont="1" applyFill="1" applyBorder="1" applyAlignment="1">
      <alignment horizontal="center"/>
    </xf>
    <xf numFmtId="0" fontId="34" fillId="17" borderId="89" xfId="3" applyFont="1" applyFill="1" applyBorder="1" applyAlignment="1">
      <alignment horizontal="center"/>
    </xf>
    <xf numFmtId="0" fontId="63" fillId="22" borderId="62" xfId="0" applyFont="1" applyFill="1" applyBorder="1" applyAlignment="1">
      <alignment horizontal="center" vertical="center"/>
    </xf>
    <xf numFmtId="0" fontId="63" fillId="22" borderId="61" xfId="0" applyFont="1" applyFill="1" applyBorder="1" applyAlignment="1">
      <alignment horizontal="center" vertical="center"/>
    </xf>
    <xf numFmtId="0" fontId="56" fillId="22" borderId="113" xfId="0" applyFont="1" applyFill="1" applyBorder="1"/>
    <xf numFmtId="0" fontId="56" fillId="22" borderId="57" xfId="0" applyFont="1" applyFill="1" applyBorder="1"/>
    <xf numFmtId="0" fontId="56" fillId="22" borderId="22" xfId="0" applyFont="1" applyFill="1" applyBorder="1"/>
    <xf numFmtId="0" fontId="56" fillId="22" borderId="107" xfId="0" applyFont="1" applyFill="1" applyBorder="1"/>
    <xf numFmtId="0" fontId="56" fillId="22" borderId="83" xfId="0" applyFont="1" applyFill="1" applyBorder="1"/>
    <xf numFmtId="0" fontId="56" fillId="22" borderId="110" xfId="0" applyFont="1" applyFill="1" applyBorder="1"/>
    <xf numFmtId="0" fontId="56" fillId="22" borderId="109" xfId="0" applyFont="1" applyFill="1" applyBorder="1"/>
    <xf numFmtId="4" fontId="65" fillId="24" borderId="51" xfId="2" applyNumberFormat="1" applyFont="1" applyFill="1" applyBorder="1" applyAlignment="1">
      <alignment horizontal="right" vertical="top" wrapText="1"/>
    </xf>
    <xf numFmtId="4" fontId="65" fillId="24" borderId="42" xfId="2" applyNumberFormat="1" applyFont="1" applyFill="1" applyBorder="1" applyAlignment="1">
      <alignment horizontal="right" vertical="top" wrapText="1"/>
    </xf>
    <xf numFmtId="4" fontId="65" fillId="24" borderId="52" xfId="2" applyNumberFormat="1" applyFont="1" applyFill="1" applyBorder="1" applyAlignment="1">
      <alignment horizontal="right" vertical="top" wrapText="1"/>
    </xf>
    <xf numFmtId="4" fontId="65" fillId="24" borderId="100" xfId="2" applyNumberFormat="1" applyFont="1" applyFill="1" applyBorder="1" applyAlignment="1">
      <alignment horizontal="right" vertical="top" wrapText="1"/>
    </xf>
    <xf numFmtId="4" fontId="65" fillId="24" borderId="92" xfId="2" applyNumberFormat="1" applyFont="1" applyFill="1" applyBorder="1" applyAlignment="1">
      <alignment horizontal="right" vertical="top" wrapText="1"/>
    </xf>
    <xf numFmtId="4" fontId="65" fillId="24" borderId="103" xfId="2" applyNumberFormat="1" applyFont="1" applyFill="1" applyBorder="1" applyAlignment="1">
      <alignment horizontal="right" vertical="top" wrapText="1"/>
    </xf>
    <xf numFmtId="4" fontId="65" fillId="24" borderId="101" xfId="2" applyNumberFormat="1" applyFont="1" applyFill="1" applyBorder="1" applyAlignment="1">
      <alignment horizontal="right" vertical="top" wrapText="1"/>
    </xf>
    <xf numFmtId="4" fontId="65" fillId="24" borderId="46" xfId="2" applyNumberFormat="1" applyFont="1" applyFill="1" applyBorder="1" applyAlignment="1">
      <alignment horizontal="right" vertical="top" wrapText="1"/>
    </xf>
    <xf numFmtId="4" fontId="65" fillId="24" borderId="45" xfId="2" applyNumberFormat="1" applyFont="1" applyFill="1" applyBorder="1" applyAlignment="1">
      <alignment horizontal="right" vertical="top" wrapText="1"/>
    </xf>
    <xf numFmtId="4" fontId="64" fillId="24" borderId="26" xfId="1" applyNumberFormat="1" applyFont="1" applyFill="1" applyBorder="1" applyAlignment="1">
      <alignment horizontal="right" vertical="top" wrapText="1"/>
    </xf>
    <xf numFmtId="4" fontId="65" fillId="24" borderId="44" xfId="2" applyNumberFormat="1" applyFont="1" applyFill="1" applyBorder="1" applyAlignment="1">
      <alignment horizontal="right" vertical="top" wrapText="1"/>
    </xf>
    <xf numFmtId="4" fontId="65" fillId="24" borderId="102" xfId="2" applyNumberFormat="1" applyFont="1" applyFill="1" applyBorder="1" applyAlignment="1">
      <alignment horizontal="right" vertical="top" wrapText="1"/>
    </xf>
    <xf numFmtId="4" fontId="65" fillId="24" borderId="43" xfId="2" applyNumberFormat="1" applyFont="1" applyFill="1" applyBorder="1" applyAlignment="1">
      <alignment horizontal="right" vertical="top" wrapText="1"/>
    </xf>
    <xf numFmtId="0" fontId="65" fillId="24" borderId="67" xfId="0" applyFont="1" applyFill="1" applyBorder="1" applyAlignment="1">
      <alignment horizontal="left" vertical="top" wrapText="1"/>
    </xf>
    <xf numFmtId="166" fontId="65" fillId="24" borderId="104" xfId="5" applyNumberFormat="1" applyFont="1" applyFill="1" applyBorder="1" applyAlignment="1">
      <alignment horizontal="right" vertical="top" wrapText="1"/>
    </xf>
    <xf numFmtId="166" fontId="65" fillId="24" borderId="105" xfId="5" applyNumberFormat="1" applyFont="1" applyFill="1" applyBorder="1" applyAlignment="1">
      <alignment horizontal="right" vertical="top" wrapText="1"/>
    </xf>
    <xf numFmtId="166" fontId="65" fillId="24" borderId="106" xfId="5" applyNumberFormat="1" applyFont="1" applyFill="1" applyBorder="1" applyAlignment="1">
      <alignment horizontal="right" vertical="top" wrapText="1"/>
    </xf>
    <xf numFmtId="166" fontId="65" fillId="24" borderId="47" xfId="5" applyNumberFormat="1" applyFont="1" applyFill="1" applyBorder="1" applyAlignment="1">
      <alignment horizontal="right" vertical="top" wrapText="1"/>
    </xf>
    <xf numFmtId="166" fontId="65" fillId="24" borderId="48" xfId="5" applyNumberFormat="1" applyFont="1" applyFill="1" applyBorder="1" applyAlignment="1">
      <alignment horizontal="right" vertical="top" wrapText="1"/>
    </xf>
    <xf numFmtId="166" fontId="65" fillId="24" borderId="49" xfId="5" applyNumberFormat="1" applyFont="1" applyFill="1" applyBorder="1" applyAlignment="1">
      <alignment horizontal="right" vertical="top" wrapText="1"/>
    </xf>
    <xf numFmtId="0" fontId="39" fillId="14" borderId="26" xfId="0" applyFont="1" applyFill="1" applyBorder="1"/>
    <xf numFmtId="0" fontId="35" fillId="12" borderId="8" xfId="0" applyFont="1" applyFill="1" applyBorder="1" applyAlignment="1">
      <alignment horizontal="center" vertical="center" wrapText="1"/>
    </xf>
    <xf numFmtId="0" fontId="66" fillId="13" borderId="5" xfId="0" applyFont="1" applyFill="1" applyBorder="1" applyAlignment="1">
      <alignment horizontal="center" vertical="center"/>
    </xf>
    <xf numFmtId="0" fontId="41" fillId="17" borderId="158" xfId="0" applyFont="1" applyFill="1" applyBorder="1" applyAlignment="1">
      <alignment horizontal="center" vertical="center"/>
    </xf>
    <xf numFmtId="0" fontId="41" fillId="17" borderId="159" xfId="0" applyFont="1" applyFill="1" applyBorder="1" applyAlignment="1">
      <alignment horizontal="center" vertical="center"/>
    </xf>
    <xf numFmtId="0" fontId="41" fillId="17" borderId="160" xfId="0" applyFont="1" applyFill="1" applyBorder="1" applyAlignment="1">
      <alignment horizontal="center" vertical="center"/>
    </xf>
    <xf numFmtId="0" fontId="41" fillId="17" borderId="161" xfId="0" applyFont="1" applyFill="1" applyBorder="1" applyAlignment="1">
      <alignment horizontal="center" vertical="center"/>
    </xf>
    <xf numFmtId="0" fontId="41" fillId="17" borderId="162" xfId="0" applyFont="1" applyFill="1" applyBorder="1" applyAlignment="1">
      <alignment horizontal="center" vertical="center"/>
    </xf>
    <xf numFmtId="0" fontId="41" fillId="17" borderId="163" xfId="0" applyFont="1" applyFill="1" applyBorder="1" applyAlignment="1">
      <alignment horizontal="center" vertical="center"/>
    </xf>
    <xf numFmtId="0" fontId="41" fillId="17" borderId="164" xfId="0" applyFont="1" applyFill="1" applyBorder="1" applyAlignment="1">
      <alignment horizontal="center" vertical="center"/>
    </xf>
    <xf numFmtId="0" fontId="41" fillId="17" borderId="165" xfId="0" applyFont="1" applyFill="1" applyBorder="1" applyAlignment="1">
      <alignment horizontal="center" vertical="center"/>
    </xf>
    <xf numFmtId="0" fontId="41" fillId="17" borderId="166" xfId="0" applyFont="1" applyFill="1" applyBorder="1" applyAlignment="1">
      <alignment horizontal="center" vertical="center"/>
    </xf>
    <xf numFmtId="0" fontId="8" fillId="0" borderId="86" xfId="0" applyFont="1" applyBorder="1" applyAlignment="1" applyProtection="1">
      <alignment horizontal="center" vertical="center"/>
    </xf>
    <xf numFmtId="166" fontId="62" fillId="0" borderId="116" xfId="5" applyNumberFormat="1" applyFont="1" applyFill="1" applyBorder="1" applyProtection="1"/>
    <xf numFmtId="166" fontId="62" fillId="22" borderId="22" xfId="5" applyNumberFormat="1" applyFont="1" applyFill="1" applyBorder="1" applyProtection="1"/>
    <xf numFmtId="166" fontId="32" fillId="0" borderId="23" xfId="5" applyNumberFormat="1" applyFont="1" applyFill="1" applyBorder="1" applyProtection="1"/>
    <xf numFmtId="0" fontId="35" fillId="12" borderId="0" xfId="0" applyFont="1" applyFill="1" applyBorder="1" applyAlignment="1">
      <alignment vertical="center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6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34" fillId="17" borderId="0" xfId="0" applyFont="1" applyFill="1" applyBorder="1"/>
    <xf numFmtId="0" fontId="41" fillId="17" borderId="24" xfId="0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41" fillId="17" borderId="6" xfId="0" applyFont="1" applyFill="1" applyBorder="1" applyAlignment="1">
      <alignment horizontal="center" vertical="center"/>
    </xf>
    <xf numFmtId="0" fontId="38" fillId="17" borderId="126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top" wrapText="1"/>
    </xf>
    <xf numFmtId="0" fontId="36" fillId="21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66" fillId="22" borderId="6" xfId="0" applyFont="1" applyFill="1" applyBorder="1" applyAlignment="1">
      <alignment horizontal="center" vertical="center"/>
    </xf>
    <xf numFmtId="3" fontId="36" fillId="21" borderId="0" xfId="0" applyNumberFormat="1" applyFont="1" applyFill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0" fontId="69" fillId="0" borderId="22" xfId="0" applyNumberFormat="1" applyFont="1" applyBorder="1" applyAlignment="1" applyProtection="1">
      <alignment horizontal="center" vertical="center" wrapText="1"/>
    </xf>
    <xf numFmtId="3" fontId="29" fillId="0" borderId="0" xfId="0" applyNumberFormat="1" applyFont="1" applyAlignment="1"/>
    <xf numFmtId="0" fontId="68" fillId="21" borderId="126" xfId="0" applyFont="1" applyFill="1" applyBorder="1" applyAlignment="1">
      <alignment horizontal="left" vertical="center"/>
    </xf>
    <xf numFmtId="1" fontId="34" fillId="17" borderId="153" xfId="0" applyNumberFormat="1" applyFont="1" applyFill="1" applyBorder="1" applyAlignment="1">
      <alignment horizontal="center" vertical="center"/>
    </xf>
    <xf numFmtId="0" fontId="41" fillId="0" borderId="169" xfId="0" applyFont="1" applyFill="1" applyBorder="1" applyAlignment="1">
      <alignment horizontal="center" vertical="center"/>
    </xf>
    <xf numFmtId="0" fontId="14" fillId="5" borderId="17" xfId="5" applyNumberFormat="1" applyFont="1" applyFill="1" applyBorder="1" applyAlignment="1" applyProtection="1">
      <alignment horizontal="center" vertical="center" wrapText="1"/>
    </xf>
    <xf numFmtId="164" fontId="59" fillId="17" borderId="157" xfId="6" applyNumberFormat="1" applyFill="1" applyBorder="1" applyAlignment="1">
      <alignment horizontal="left" vertical="center"/>
    </xf>
    <xf numFmtId="164" fontId="38" fillId="17" borderId="157" xfId="7" applyFont="1" applyFill="1" applyBorder="1" applyAlignment="1">
      <alignment horizontal="left" vertical="center" wrapText="1"/>
    </xf>
    <xf numFmtId="164" fontId="72" fillId="20" borderId="156" xfId="7" applyFont="1" applyFill="1" applyBorder="1" applyAlignment="1" applyProtection="1">
      <alignment horizontal="center" vertical="center" wrapText="1"/>
    </xf>
    <xf numFmtId="0" fontId="38" fillId="26" borderId="126" xfId="0" applyFont="1" applyFill="1" applyBorder="1" applyAlignment="1">
      <alignment horizontal="center" vertical="center"/>
    </xf>
    <xf numFmtId="164" fontId="38" fillId="26" borderId="126" xfId="7" applyFont="1" applyFill="1" applyBorder="1" applyAlignment="1">
      <alignment horizontal="center" vertical="center"/>
    </xf>
    <xf numFmtId="0" fontId="70" fillId="26" borderId="126" xfId="0" applyFont="1" applyFill="1" applyBorder="1" applyAlignment="1">
      <alignment horizontal="left" vertical="center" wrapText="1"/>
    </xf>
    <xf numFmtId="0" fontId="0" fillId="0" borderId="0" xfId="0"/>
    <xf numFmtId="164" fontId="72" fillId="26" borderId="156" xfId="7" applyFont="1" applyFill="1" applyBorder="1" applyAlignment="1" applyProtection="1">
      <alignment horizontal="center" vertical="center" wrapText="1"/>
    </xf>
    <xf numFmtId="0" fontId="41" fillId="0" borderId="5" xfId="0" applyFont="1" applyFill="1" applyBorder="1" applyAlignment="1">
      <alignment horizontal="center" vertical="center"/>
    </xf>
    <xf numFmtId="0" fontId="41" fillId="0" borderId="171" xfId="0" applyFont="1" applyFill="1" applyBorder="1" applyAlignment="1">
      <alignment horizontal="center" vertical="center"/>
    </xf>
    <xf numFmtId="0" fontId="41" fillId="0" borderId="170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5" borderId="53" xfId="3" applyFont="1" applyBorder="1" applyAlignment="1">
      <alignment horizontal="center" vertical="center" wrapText="1"/>
    </xf>
    <xf numFmtId="0" fontId="21" fillId="5" borderId="54" xfId="3" applyFont="1" applyBorder="1" applyAlignment="1">
      <alignment horizontal="center" vertical="center" wrapText="1"/>
    </xf>
    <xf numFmtId="0" fontId="23" fillId="3" borderId="64" xfId="1" applyFont="1" applyBorder="1" applyAlignment="1">
      <alignment horizontal="center" vertical="center" wrapText="1"/>
    </xf>
    <xf numFmtId="0" fontId="23" fillId="3" borderId="65" xfId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17" fillId="8" borderId="59" xfId="0" applyFont="1" applyFill="1" applyBorder="1" applyAlignment="1">
      <alignment horizontal="right" vertical="center" wrapText="1"/>
    </xf>
    <xf numFmtId="0" fontId="17" fillId="8" borderId="34" xfId="0" applyFont="1" applyFill="1" applyBorder="1" applyAlignment="1">
      <alignment horizontal="right" vertical="center" wrapText="1"/>
    </xf>
    <xf numFmtId="0" fontId="18" fillId="17" borderId="22" xfId="0" applyFont="1" applyFill="1" applyBorder="1" applyAlignment="1">
      <alignment horizontal="left" vertical="center" wrapText="1"/>
    </xf>
    <xf numFmtId="0" fontId="18" fillId="17" borderId="38" xfId="0" applyFont="1" applyFill="1" applyBorder="1" applyAlignment="1">
      <alignment horizontal="left" vertical="center" wrapText="1"/>
    </xf>
    <xf numFmtId="0" fontId="17" fillId="8" borderId="60" xfId="0" applyFont="1" applyFill="1" applyBorder="1" applyAlignment="1">
      <alignment horizontal="right" vertical="center" wrapText="1"/>
    </xf>
    <xf numFmtId="0" fontId="17" fillId="8" borderId="61" xfId="0" applyFont="1" applyFill="1" applyBorder="1" applyAlignment="1">
      <alignment horizontal="right" vertical="center" wrapText="1"/>
    </xf>
    <xf numFmtId="0" fontId="18" fillId="17" borderId="62" xfId="0" applyFont="1" applyFill="1" applyBorder="1" applyAlignment="1">
      <alignment horizontal="left" vertical="center"/>
    </xf>
    <xf numFmtId="0" fontId="18" fillId="17" borderId="63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center"/>
    </xf>
    <xf numFmtId="0" fontId="20" fillId="8" borderId="14" xfId="0" applyFont="1" applyFill="1" applyBorder="1" applyAlignment="1">
      <alignment horizontal="center" vertical="center" wrapText="1"/>
    </xf>
    <xf numFmtId="0" fontId="20" fillId="8" borderId="13" xfId="0" applyFont="1" applyFill="1" applyBorder="1" applyAlignment="1">
      <alignment horizontal="center" vertical="center" wrapTex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4" borderId="52" xfId="2" applyFont="1" applyBorder="1" applyAlignment="1">
      <alignment horizontal="center" vertical="center" wrapText="1"/>
    </xf>
    <xf numFmtId="0" fontId="22" fillId="4" borderId="44" xfId="2" applyFont="1" applyBorder="1" applyAlignment="1">
      <alignment horizontal="center" vertical="center" wrapText="1"/>
    </xf>
    <xf numFmtId="0" fontId="17" fillId="17" borderId="22" xfId="0" applyFont="1" applyFill="1" applyBorder="1" applyAlignment="1">
      <alignment horizontal="center" vertical="center" wrapText="1"/>
    </xf>
    <xf numFmtId="0" fontId="17" fillId="17" borderId="3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17" fillId="8" borderId="55" xfId="0" applyFont="1" applyFill="1" applyBorder="1" applyAlignment="1">
      <alignment horizontal="right" vertical="center" wrapText="1"/>
    </xf>
    <xf numFmtId="0" fontId="17" fillId="8" borderId="56" xfId="0" applyFont="1" applyFill="1" applyBorder="1" applyAlignment="1">
      <alignment horizontal="right" vertical="center" wrapText="1"/>
    </xf>
    <xf numFmtId="0" fontId="33" fillId="19" borderId="21" xfId="0" applyFont="1" applyFill="1" applyBorder="1" applyAlignment="1" applyProtection="1">
      <alignment horizontal="center" vertical="center"/>
    </xf>
    <xf numFmtId="0" fontId="8" fillId="0" borderId="119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8" fillId="0" borderId="107" xfId="0" applyFont="1" applyBorder="1" applyAlignment="1" applyProtection="1">
      <alignment horizontal="center"/>
    </xf>
    <xf numFmtId="0" fontId="0" fillId="6" borderId="25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9" fillId="6" borderId="28" xfId="0" applyFont="1" applyFill="1" applyBorder="1" applyAlignment="1">
      <alignment horizontal="center" vertical="top" wrapText="1"/>
    </xf>
    <xf numFmtId="0" fontId="9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top" wrapText="1"/>
    </xf>
    <xf numFmtId="0" fontId="9" fillId="6" borderId="14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top" wrapText="1"/>
    </xf>
    <xf numFmtId="0" fontId="9" fillId="6" borderId="13" xfId="0" applyFont="1" applyFill="1" applyBorder="1" applyAlignment="1">
      <alignment horizontal="center" vertical="top" wrapText="1"/>
    </xf>
    <xf numFmtId="0" fontId="0" fillId="6" borderId="31" xfId="0" applyFill="1" applyBorder="1" applyAlignment="1">
      <alignment horizontal="center" vertical="top" wrapText="1"/>
    </xf>
    <xf numFmtId="0" fontId="0" fillId="6" borderId="13" xfId="0" applyFill="1" applyBorder="1" applyAlignment="1">
      <alignment horizontal="center" vertical="top" wrapText="1"/>
    </xf>
    <xf numFmtId="0" fontId="8" fillId="19" borderId="119" xfId="0" applyFont="1" applyFill="1" applyBorder="1" applyAlignment="1">
      <alignment horizontal="left" wrapText="1"/>
    </xf>
    <xf numFmtId="0" fontId="8" fillId="19" borderId="34" xfId="0" applyFont="1" applyFill="1" applyBorder="1" applyAlignment="1">
      <alignment horizontal="left" wrapText="1"/>
    </xf>
    <xf numFmtId="0" fontId="8" fillId="19" borderId="107" xfId="0" applyFont="1" applyFill="1" applyBorder="1" applyAlignment="1">
      <alignment horizontal="left" wrapText="1"/>
    </xf>
    <xf numFmtId="0" fontId="8" fillId="19" borderId="83" xfId="0" applyFont="1" applyFill="1" applyBorder="1" applyAlignment="1">
      <alignment horizontal="center" vertical="top" wrapText="1"/>
    </xf>
    <xf numFmtId="0" fontId="8" fillId="19" borderId="120" xfId="0" applyFont="1" applyFill="1" applyBorder="1" applyAlignment="1">
      <alignment horizontal="center" vertical="top" wrapText="1"/>
    </xf>
    <xf numFmtId="0" fontId="8" fillId="19" borderId="108" xfId="0" applyFont="1" applyFill="1" applyBorder="1" applyAlignment="1">
      <alignment horizontal="center" vertical="top" wrapText="1"/>
    </xf>
    <xf numFmtId="0" fontId="8" fillId="10" borderId="119" xfId="0" applyFont="1" applyFill="1" applyBorder="1" applyAlignment="1">
      <alignment horizontal="center" wrapText="1"/>
    </xf>
    <xf numFmtId="0" fontId="8" fillId="10" borderId="107" xfId="0" applyFont="1" applyFill="1" applyBorder="1" applyAlignment="1">
      <alignment horizontal="center" wrapText="1"/>
    </xf>
    <xf numFmtId="0" fontId="8" fillId="10" borderId="119" xfId="0" applyFont="1" applyFill="1" applyBorder="1" applyAlignment="1">
      <alignment horizontal="center" vertical="center" wrapText="1"/>
    </xf>
    <xf numFmtId="0" fontId="8" fillId="10" borderId="107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top" wrapText="1"/>
    </xf>
    <xf numFmtId="0" fontId="9" fillId="6" borderId="0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60" xfId="0" applyFont="1" applyFill="1" applyBorder="1" applyAlignment="1">
      <alignment horizontal="center" vertical="top" wrapText="1"/>
    </xf>
    <xf numFmtId="0" fontId="9" fillId="6" borderId="167" xfId="0" applyFont="1" applyFill="1" applyBorder="1" applyAlignment="1">
      <alignment horizontal="center" vertical="top" wrapText="1"/>
    </xf>
    <xf numFmtId="0" fontId="9" fillId="6" borderId="168" xfId="0" applyFont="1" applyFill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left" vertical="top" wrapText="1"/>
    </xf>
    <xf numFmtId="0" fontId="8" fillId="0" borderId="24" xfId="0" applyFont="1" applyBorder="1" applyAlignment="1" applyProtection="1">
      <alignment horizontal="left" vertical="top" wrapText="1"/>
    </xf>
    <xf numFmtId="0" fontId="8" fillId="0" borderId="15" xfId="0" applyFont="1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0" fillId="18" borderId="14" xfId="0" applyFill="1" applyBorder="1" applyAlignment="1" applyProtection="1">
      <alignment horizontal="center" vertical="top" wrapText="1"/>
    </xf>
    <xf numFmtId="0" fontId="0" fillId="18" borderId="23" xfId="0" applyFill="1" applyBorder="1" applyAlignment="1" applyProtection="1">
      <alignment horizontal="center" vertical="top" wrapText="1"/>
    </xf>
    <xf numFmtId="0" fontId="0" fillId="18" borderId="13" xfId="0" applyFill="1" applyBorder="1" applyAlignment="1" applyProtection="1">
      <alignment horizontal="center" vertical="top" wrapText="1"/>
    </xf>
    <xf numFmtId="0" fontId="0" fillId="18" borderId="24" xfId="0" applyFill="1" applyBorder="1" applyAlignment="1" applyProtection="1">
      <alignment horizontal="center" vertical="top" wrapText="1"/>
    </xf>
    <xf numFmtId="0" fontId="0" fillId="18" borderId="0" xfId="0" applyFill="1" applyBorder="1" applyAlignment="1" applyProtection="1">
      <alignment horizontal="center" vertical="top" wrapText="1"/>
    </xf>
    <xf numFmtId="0" fontId="0" fillId="18" borderId="20" xfId="0" applyFill="1" applyBorder="1" applyAlignment="1" applyProtection="1">
      <alignment horizontal="center" vertical="top" wrapText="1"/>
    </xf>
    <xf numFmtId="0" fontId="0" fillId="17" borderId="24" xfId="0" applyFill="1" applyBorder="1" applyAlignment="1" applyProtection="1">
      <alignment horizontal="center" vertical="center" wrapText="1"/>
    </xf>
    <xf numFmtId="0" fontId="0" fillId="17" borderId="0" xfId="0" applyFill="1" applyBorder="1" applyAlignment="1" applyProtection="1">
      <alignment horizontal="center" vertical="center" wrapText="1"/>
    </xf>
    <xf numFmtId="0" fontId="0" fillId="17" borderId="20" xfId="0" applyFill="1" applyBorder="1" applyAlignment="1" applyProtection="1">
      <alignment horizontal="center" vertical="center" wrapText="1"/>
    </xf>
    <xf numFmtId="0" fontId="8" fillId="7" borderId="24" xfId="0" applyFont="1" applyFill="1" applyBorder="1" applyAlignment="1" applyProtection="1">
      <alignment horizontal="left" vertical="top" wrapText="1"/>
    </xf>
    <xf numFmtId="0" fontId="8" fillId="7" borderId="15" xfId="0" applyFont="1" applyFill="1" applyBorder="1" applyAlignment="1" applyProtection="1">
      <alignment horizontal="left" vertical="top" wrapText="1"/>
    </xf>
    <xf numFmtId="0" fontId="0" fillId="7" borderId="0" xfId="0" applyFill="1" applyBorder="1" applyAlignment="1" applyProtection="1">
      <alignment horizontal="left" vertical="top" wrapText="1"/>
    </xf>
    <xf numFmtId="0" fontId="0" fillId="7" borderId="26" xfId="0" applyFill="1" applyBorder="1" applyAlignment="1" applyProtection="1">
      <alignment horizontal="left" vertical="top" wrapText="1"/>
    </xf>
    <xf numFmtId="0" fontId="30" fillId="0" borderId="0" xfId="0" applyFont="1" applyBorder="1" applyAlignment="1">
      <alignment horizontal="center"/>
    </xf>
    <xf numFmtId="0" fontId="33" fillId="0" borderId="0" xfId="0" applyFont="1" applyAlignment="1">
      <alignment horizontal="left" vertical="top" wrapText="1"/>
    </xf>
    <xf numFmtId="0" fontId="27" fillId="0" borderId="26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0" fontId="26" fillId="11" borderId="28" xfId="0" applyFont="1" applyFill="1" applyBorder="1" applyAlignment="1">
      <alignment horizontal="left"/>
    </xf>
    <xf numFmtId="0" fontId="26" fillId="11" borderId="29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6" fillId="11" borderId="0" xfId="0" applyFont="1" applyFill="1" applyAlignment="1">
      <alignment horizontal="left"/>
    </xf>
    <xf numFmtId="0" fontId="26" fillId="10" borderId="28" xfId="0" applyFont="1" applyFill="1" applyBorder="1" applyAlignment="1">
      <alignment horizontal="left"/>
    </xf>
    <xf numFmtId="0" fontId="26" fillId="10" borderId="29" xfId="0" applyFont="1" applyFill="1" applyBorder="1" applyAlignment="1">
      <alignment horizontal="left"/>
    </xf>
    <xf numFmtId="0" fontId="26" fillId="10" borderId="0" xfId="0" applyFont="1" applyFill="1" applyAlignment="1">
      <alignment horizontal="left"/>
    </xf>
    <xf numFmtId="0" fontId="35" fillId="12" borderId="28" xfId="0" applyFont="1" applyFill="1" applyBorder="1" applyAlignment="1">
      <alignment horizontal="center" vertical="center" wrapText="1"/>
    </xf>
    <xf numFmtId="0" fontId="35" fillId="12" borderId="29" xfId="0" applyFont="1" applyFill="1" applyBorder="1" applyAlignment="1">
      <alignment horizontal="center" vertical="center" wrapText="1"/>
    </xf>
    <xf numFmtId="0" fontId="35" fillId="12" borderId="30" xfId="0" applyFont="1" applyFill="1" applyBorder="1" applyAlignment="1">
      <alignment horizontal="center" vertical="center" wrapText="1"/>
    </xf>
    <xf numFmtId="0" fontId="35" fillId="12" borderId="8" xfId="0" applyFont="1" applyFill="1" applyBorder="1" applyAlignment="1">
      <alignment horizontal="center" vertical="center" wrapText="1"/>
    </xf>
    <xf numFmtId="0" fontId="35" fillId="12" borderId="77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58" fillId="12" borderId="8" xfId="0" applyFont="1" applyFill="1" applyBorder="1" applyAlignment="1">
      <alignment horizontal="center" vertical="center" wrapText="1"/>
    </xf>
    <xf numFmtId="0" fontId="58" fillId="12" borderId="9" xfId="0" applyFont="1" applyFill="1" applyBorder="1" applyAlignment="1">
      <alignment horizontal="center" vertical="center" wrapText="1"/>
    </xf>
    <xf numFmtId="0" fontId="52" fillId="0" borderId="26" xfId="0" applyFont="1" applyBorder="1" applyAlignment="1">
      <alignment horizontal="center" vertical="center"/>
    </xf>
    <xf numFmtId="0" fontId="35" fillId="12" borderId="14" xfId="0" applyFont="1" applyFill="1" applyBorder="1" applyAlignment="1">
      <alignment horizontal="center" vertical="center" wrapText="1"/>
    </xf>
    <xf numFmtId="0" fontId="35" fillId="12" borderId="23" xfId="0" applyFont="1" applyFill="1" applyBorder="1" applyAlignment="1">
      <alignment horizontal="center" vertical="center" wrapText="1"/>
    </xf>
    <xf numFmtId="0" fontId="35" fillId="12" borderId="13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top"/>
    </xf>
    <xf numFmtId="0" fontId="1" fillId="26" borderId="77" xfId="0" applyFont="1" applyFill="1" applyBorder="1" applyAlignment="1">
      <alignment horizontal="center" vertical="top"/>
    </xf>
    <xf numFmtId="0" fontId="5" fillId="26" borderId="8" xfId="0" applyFont="1" applyFill="1" applyBorder="1" applyAlignment="1">
      <alignment horizontal="left" vertical="top" wrapText="1"/>
    </xf>
    <xf numFmtId="0" fontId="5" fillId="26" borderId="77" xfId="0" applyFont="1" applyFill="1" applyBorder="1" applyAlignment="1">
      <alignment horizontal="left" vertical="top" wrapText="1"/>
    </xf>
    <xf numFmtId="0" fontId="1" fillId="26" borderId="8" xfId="0" applyFont="1" applyFill="1" applyBorder="1" applyAlignment="1">
      <alignment vertical="top" wrapText="1"/>
    </xf>
    <xf numFmtId="0" fontId="1" fillId="26" borderId="77" xfId="0" applyFont="1" applyFill="1" applyBorder="1" applyAlignment="1">
      <alignment vertical="top" wrapText="1"/>
    </xf>
    <xf numFmtId="2" fontId="3" fillId="5" borderId="88" xfId="3" applyNumberFormat="1" applyFont="1" applyBorder="1" applyAlignment="1">
      <alignment horizontal="right" vertical="top" wrapText="1"/>
    </xf>
    <xf numFmtId="2" fontId="3" fillId="5" borderId="89" xfId="3" applyNumberFormat="1" applyFont="1" applyBorder="1" applyAlignment="1">
      <alignment horizontal="right" vertical="top" wrapText="1"/>
    </xf>
    <xf numFmtId="0" fontId="5" fillId="26" borderId="7" xfId="0" applyFont="1" applyFill="1" applyBorder="1" applyAlignment="1">
      <alignment horizontal="left" vertical="top" wrapText="1"/>
    </xf>
    <xf numFmtId="0" fontId="5" fillId="26" borderId="4" xfId="0" applyFont="1" applyFill="1" applyBorder="1" applyAlignment="1">
      <alignment horizontal="left" vertical="top" wrapText="1"/>
    </xf>
    <xf numFmtId="167" fontId="49" fillId="3" borderId="8" xfId="4" applyNumberFormat="1" applyFont="1" applyFill="1" applyBorder="1" applyAlignment="1">
      <alignment horizontal="right" vertical="top" wrapText="1"/>
    </xf>
    <xf numFmtId="167" fontId="49" fillId="3" borderId="9" xfId="4" applyNumberFormat="1" applyFont="1" applyFill="1" applyBorder="1" applyAlignment="1">
      <alignment horizontal="right" vertical="top" wrapText="1"/>
    </xf>
    <xf numFmtId="167" fontId="49" fillId="3" borderId="8" xfId="4" applyNumberFormat="1" applyFont="1" applyFill="1" applyBorder="1" applyAlignment="1">
      <alignment vertical="top" wrapText="1"/>
    </xf>
    <xf numFmtId="167" fontId="49" fillId="3" borderId="9" xfId="4" applyNumberFormat="1" applyFont="1" applyFill="1" applyBorder="1" applyAlignment="1">
      <alignment vertical="top" wrapText="1"/>
    </xf>
    <xf numFmtId="0" fontId="5" fillId="26" borderId="14" xfId="0" applyFont="1" applyFill="1" applyBorder="1" applyAlignment="1">
      <alignment horizontal="left" vertical="top" wrapText="1"/>
    </xf>
    <xf numFmtId="0" fontId="5" fillId="26" borderId="15" xfId="0" applyFont="1" applyFill="1" applyBorder="1" applyAlignment="1">
      <alignment horizontal="left" vertical="top" wrapText="1"/>
    </xf>
    <xf numFmtId="2" fontId="49" fillId="3" borderId="8" xfId="4" applyNumberFormat="1" applyFont="1" applyFill="1" applyBorder="1" applyAlignment="1">
      <alignment vertical="top" wrapText="1"/>
    </xf>
    <xf numFmtId="2" fontId="49" fillId="3" borderId="9" xfId="4" applyNumberFormat="1" applyFont="1" applyFill="1" applyBorder="1" applyAlignment="1">
      <alignment vertical="top" wrapText="1"/>
    </xf>
    <xf numFmtId="0" fontId="1" fillId="26" borderId="9" xfId="0" applyFont="1" applyFill="1" applyBorder="1" applyAlignment="1">
      <alignment vertical="top" wrapText="1"/>
    </xf>
    <xf numFmtId="0" fontId="5" fillId="26" borderId="11" xfId="0" applyFont="1" applyFill="1" applyBorder="1" applyAlignment="1">
      <alignment horizontal="left" vertical="top" wrapText="1"/>
    </xf>
    <xf numFmtId="0" fontId="5" fillId="26" borderId="12" xfId="0" applyFont="1" applyFill="1" applyBorder="1" applyAlignment="1">
      <alignment horizontal="left" vertical="top" wrapText="1"/>
    </xf>
    <xf numFmtId="0" fontId="5" fillId="26" borderId="8" xfId="0" applyFont="1" applyFill="1" applyBorder="1" applyAlignment="1">
      <alignment horizontal="center" vertical="top" wrapText="1"/>
    </xf>
    <xf numFmtId="0" fontId="5" fillId="26" borderId="9" xfId="0" applyFont="1" applyFill="1" applyBorder="1" applyAlignment="1">
      <alignment horizontal="center" vertical="top" wrapText="1"/>
    </xf>
    <xf numFmtId="0" fontId="1" fillId="26" borderId="13" xfId="0" applyFont="1" applyFill="1" applyBorder="1" applyAlignment="1">
      <alignment horizontal="center" vertical="top"/>
    </xf>
    <xf numFmtId="0" fontId="1" fillId="26" borderId="5" xfId="0" applyFont="1" applyFill="1" applyBorder="1" applyAlignment="1">
      <alignment horizontal="center" vertical="top"/>
    </xf>
    <xf numFmtId="0" fontId="8" fillId="0" borderId="1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3" fillId="22" borderId="14" xfId="0" applyFont="1" applyFill="1" applyBorder="1" applyAlignment="1">
      <alignment horizontal="center"/>
    </xf>
    <xf numFmtId="0" fontId="63" fillId="22" borderId="23" xfId="0" applyFont="1" applyFill="1" applyBorder="1" applyAlignment="1">
      <alignment horizontal="center"/>
    </xf>
    <xf numFmtId="0" fontId="73" fillId="17" borderId="57" xfId="0" applyFont="1" applyFill="1" applyBorder="1" applyAlignment="1">
      <alignment horizontal="center" vertical="center" wrapText="1"/>
    </xf>
    <xf numFmtId="0" fontId="73" fillId="17" borderId="58" xfId="0" applyFont="1" applyFill="1" applyBorder="1" applyAlignment="1">
      <alignment horizontal="center" vertical="center" wrapText="1"/>
    </xf>
    <xf numFmtId="0" fontId="74" fillId="17" borderId="22" xfId="0" applyFont="1" applyFill="1" applyBorder="1" applyAlignment="1">
      <alignment horizontal="center" vertical="center" wrapText="1"/>
    </xf>
    <xf numFmtId="0" fontId="74" fillId="17" borderId="38" xfId="0" applyFont="1" applyFill="1" applyBorder="1" applyAlignment="1">
      <alignment horizontal="center" vertical="center" wrapText="1"/>
    </xf>
    <xf numFmtId="0" fontId="59" fillId="17" borderId="22" xfId="6" applyFill="1" applyBorder="1" applyAlignment="1">
      <alignment horizontal="center" vertical="center" wrapText="1"/>
    </xf>
    <xf numFmtId="3" fontId="17" fillId="17" borderId="22" xfId="0" applyNumberFormat="1" applyFont="1" applyFill="1" applyBorder="1" applyAlignment="1">
      <alignment horizontal="center" vertical="center" wrapText="1"/>
    </xf>
  </cellXfs>
  <cellStyles count="8">
    <cellStyle name="Čiarka" xfId="5" builtinId="3"/>
    <cellStyle name="Dobrá" xfId="1" builtinId="26"/>
    <cellStyle name="Hypertextové prepojenie" xfId="6" builtinId="8"/>
    <cellStyle name="Mena" xfId="7" builtinId="4"/>
    <cellStyle name="Normálna" xfId="0" builtinId="0"/>
    <cellStyle name="Percentá" xfId="4" builtinId="5"/>
    <cellStyle name="Poznámka" xfId="3" builtinId="10"/>
    <cellStyle name="Výpočet" xfId="2" builtinId="22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11</xdr:col>
      <xdr:colOff>552450</xdr:colOff>
      <xdr:row>35</xdr:row>
      <xdr:rowOff>140105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"/>
          <a:ext cx="7258050" cy="62170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600074</xdr:colOff>
      <xdr:row>3</xdr:row>
      <xdr:rowOff>0</xdr:rowOff>
    </xdr:from>
    <xdr:to>
      <xdr:col>44</xdr:col>
      <xdr:colOff>508192</xdr:colOff>
      <xdr:row>35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4" y="571500"/>
          <a:ext cx="15757718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i.stuba.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za.sk/" TargetMode="External"/><Relationship Id="rId2" Type="http://schemas.openxmlformats.org/officeDocument/2006/relationships/hyperlink" Target="http://www.oracle.com/cloud/cost-estimator.html" TargetMode="External"/><Relationship Id="rId1" Type="http://schemas.openxmlformats.org/officeDocument/2006/relationships/hyperlink" Target="http://www.oracle.com/cloud/cost-estimator.html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://www.alza.sk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46"/>
  <sheetViews>
    <sheetView view="pageBreakPreview" topLeftCell="A12" zoomScale="143" zoomScaleNormal="100" zoomScaleSheetLayoutView="90" workbookViewId="0">
      <selection activeCell="C27" sqref="C27:I27"/>
    </sheetView>
  </sheetViews>
  <sheetFormatPr baseColWidth="10" defaultColWidth="8.83203125" defaultRowHeight="15"/>
  <cols>
    <col min="2" max="2" width="11.6640625" customWidth="1"/>
    <col min="4" max="4" width="6.5" customWidth="1"/>
    <col min="6" max="6" width="7.6640625" customWidth="1"/>
    <col min="7" max="7" width="12.33203125" customWidth="1"/>
    <col min="8" max="8" width="6" customWidth="1"/>
    <col min="9" max="9" width="14.33203125" customWidth="1"/>
  </cols>
  <sheetData>
    <row r="1" spans="1:18">
      <c r="A1" s="36"/>
      <c r="B1" s="36"/>
      <c r="C1" s="36"/>
      <c r="D1" s="36"/>
      <c r="E1" s="36"/>
      <c r="F1" s="36"/>
      <c r="G1" s="36"/>
      <c r="H1" s="36"/>
      <c r="I1" s="36"/>
      <c r="J1" s="361"/>
      <c r="K1" s="362"/>
      <c r="L1" s="362"/>
      <c r="M1" s="362"/>
      <c r="N1" s="362"/>
      <c r="O1" s="362"/>
      <c r="P1" s="362"/>
      <c r="Q1" s="362"/>
      <c r="R1" s="362"/>
    </row>
    <row r="2" spans="1:18">
      <c r="A2" s="36"/>
      <c r="B2" s="36"/>
      <c r="C2" s="36"/>
      <c r="D2" s="36"/>
      <c r="E2" s="36"/>
      <c r="F2" s="36"/>
      <c r="G2" s="36"/>
      <c r="H2" s="36"/>
      <c r="I2" s="36"/>
      <c r="J2" s="362"/>
      <c r="K2" s="362"/>
      <c r="L2" s="362"/>
      <c r="M2" s="362"/>
      <c r="N2" s="362"/>
      <c r="O2" s="362"/>
      <c r="P2" s="362"/>
      <c r="Q2" s="362"/>
      <c r="R2" s="362"/>
    </row>
    <row r="3" spans="1:18" ht="15" customHeight="1">
      <c r="A3" s="36"/>
      <c r="B3" s="36"/>
      <c r="C3" s="36"/>
      <c r="D3" s="36"/>
      <c r="E3" s="36"/>
      <c r="F3" s="36"/>
      <c r="G3" s="36"/>
      <c r="H3" s="36"/>
      <c r="I3" s="36"/>
      <c r="J3" s="362"/>
      <c r="K3" s="362"/>
      <c r="L3" s="362"/>
      <c r="M3" s="362"/>
      <c r="N3" s="362"/>
      <c r="O3" s="362"/>
      <c r="P3" s="362"/>
      <c r="Q3" s="362"/>
      <c r="R3" s="362"/>
    </row>
    <row r="4" spans="1:18" ht="15" customHeight="1">
      <c r="A4" s="36"/>
      <c r="B4" s="36"/>
      <c r="C4" s="36"/>
      <c r="D4" s="36"/>
      <c r="E4" s="36"/>
      <c r="F4" s="36"/>
      <c r="G4" s="36"/>
      <c r="H4" s="36"/>
      <c r="I4" s="36"/>
      <c r="J4" s="362"/>
      <c r="K4" s="362"/>
      <c r="L4" s="362"/>
      <c r="M4" s="362"/>
      <c r="N4" s="362"/>
      <c r="O4" s="362"/>
      <c r="P4" s="362"/>
      <c r="Q4" s="362"/>
      <c r="R4" s="362"/>
    </row>
    <row r="5" spans="1:18">
      <c r="A5" s="36"/>
      <c r="B5" s="36"/>
      <c r="C5" s="36"/>
      <c r="D5" s="36"/>
      <c r="E5" s="36"/>
      <c r="F5" s="36"/>
      <c r="G5" s="36"/>
      <c r="H5" s="36"/>
      <c r="I5" s="36"/>
      <c r="J5" s="362"/>
      <c r="K5" s="362"/>
      <c r="L5" s="362"/>
      <c r="M5" s="362"/>
      <c r="N5" s="362"/>
      <c r="O5" s="362"/>
      <c r="P5" s="362"/>
      <c r="Q5" s="362"/>
      <c r="R5" s="362"/>
    </row>
    <row r="6" spans="1:18" ht="62.25" customHeight="1">
      <c r="A6" s="651" t="s">
        <v>115</v>
      </c>
      <c r="B6" s="651"/>
      <c r="C6" s="651"/>
      <c r="D6" s="651"/>
      <c r="E6" s="651"/>
      <c r="F6" s="651"/>
      <c r="G6" s="651"/>
      <c r="H6" s="651"/>
      <c r="I6" s="651"/>
      <c r="J6" s="362"/>
      <c r="K6" s="362"/>
      <c r="L6" s="362"/>
      <c r="M6" s="362"/>
      <c r="N6" s="362"/>
      <c r="O6" s="362"/>
      <c r="P6" s="362"/>
      <c r="Q6" s="362"/>
      <c r="R6" s="362"/>
    </row>
    <row r="7" spans="1:18" ht="18.75" customHeight="1">
      <c r="A7" s="632" t="s">
        <v>67</v>
      </c>
      <c r="B7" s="632"/>
      <c r="C7" s="632"/>
      <c r="D7" s="632"/>
      <c r="E7" s="632"/>
      <c r="F7" s="632"/>
      <c r="G7" s="632"/>
      <c r="H7" s="632"/>
      <c r="I7" s="632"/>
      <c r="J7" s="362"/>
      <c r="K7" s="362"/>
      <c r="L7" s="362"/>
      <c r="M7" s="362"/>
      <c r="N7" s="362"/>
      <c r="O7" s="362"/>
      <c r="P7" s="362"/>
      <c r="Q7" s="362"/>
      <c r="R7" s="362"/>
    </row>
    <row r="8" spans="1:18">
      <c r="A8" s="652" t="s">
        <v>62</v>
      </c>
      <c r="B8" s="652"/>
      <c r="C8" s="652"/>
      <c r="D8" s="652"/>
      <c r="E8" s="652"/>
      <c r="F8" s="652"/>
      <c r="G8" s="652"/>
      <c r="H8" s="652"/>
      <c r="I8" s="652"/>
      <c r="J8" s="362"/>
      <c r="K8" s="362"/>
      <c r="L8" s="362"/>
      <c r="M8" s="362"/>
      <c r="N8" s="362"/>
      <c r="O8" s="362"/>
      <c r="P8" s="362"/>
      <c r="Q8" s="362"/>
      <c r="R8" s="362"/>
    </row>
    <row r="9" spans="1:18" ht="15" customHeight="1">
      <c r="A9" s="652"/>
      <c r="B9" s="652"/>
      <c r="C9" s="652"/>
      <c r="D9" s="652"/>
      <c r="E9" s="652"/>
      <c r="F9" s="652"/>
      <c r="G9" s="652"/>
      <c r="H9" s="652"/>
      <c r="I9" s="652"/>
      <c r="J9" s="362"/>
      <c r="K9" s="362"/>
      <c r="L9" s="362"/>
      <c r="M9" s="362"/>
      <c r="N9" s="362"/>
      <c r="O9" s="362"/>
      <c r="P9" s="362"/>
      <c r="Q9" s="362"/>
      <c r="R9" s="362"/>
    </row>
    <row r="10" spans="1:18" ht="48.75" customHeight="1">
      <c r="A10" s="652"/>
      <c r="B10" s="652"/>
      <c r="C10" s="652"/>
      <c r="D10" s="652"/>
      <c r="E10" s="652"/>
      <c r="F10" s="652"/>
      <c r="G10" s="652"/>
      <c r="H10" s="652"/>
      <c r="I10" s="652"/>
      <c r="J10" s="362"/>
      <c r="K10" s="362"/>
      <c r="L10" s="362"/>
      <c r="M10" s="362"/>
      <c r="N10" s="362"/>
      <c r="O10" s="362"/>
      <c r="P10" s="362"/>
      <c r="Q10" s="362"/>
      <c r="R10" s="362"/>
    </row>
    <row r="11" spans="1:18" ht="15" customHeight="1">
      <c r="A11" s="36"/>
      <c r="B11" s="36"/>
      <c r="C11" s="36"/>
      <c r="D11" s="36"/>
      <c r="E11" s="36"/>
      <c r="F11" s="36"/>
      <c r="G11" s="36"/>
      <c r="H11" s="36"/>
      <c r="I11" s="36"/>
      <c r="J11" s="362"/>
      <c r="K11" s="362"/>
      <c r="L11" s="362"/>
      <c r="M11" s="362"/>
      <c r="N11" s="362"/>
      <c r="O11" s="362"/>
      <c r="P11" s="362"/>
      <c r="Q11" s="362"/>
      <c r="R11" s="362"/>
    </row>
    <row r="12" spans="1:18">
      <c r="A12" s="36"/>
      <c r="B12" s="36"/>
      <c r="C12" s="36"/>
      <c r="D12" s="36"/>
      <c r="E12" s="36"/>
      <c r="F12" s="36"/>
      <c r="G12" s="36"/>
      <c r="H12" s="36"/>
      <c r="I12" s="36"/>
      <c r="J12" s="362"/>
      <c r="K12" s="362"/>
      <c r="L12" s="362"/>
      <c r="M12" s="362"/>
      <c r="N12" s="362"/>
      <c r="O12" s="362"/>
      <c r="P12" s="362"/>
      <c r="Q12" s="362"/>
      <c r="R12" s="362"/>
    </row>
    <row r="13" spans="1:18">
      <c r="A13" s="36"/>
      <c r="B13" s="36"/>
      <c r="C13" s="36"/>
      <c r="D13" s="36"/>
      <c r="E13" s="36"/>
      <c r="F13" s="36"/>
      <c r="G13" s="36"/>
      <c r="H13" s="36"/>
      <c r="I13" s="36"/>
      <c r="J13" s="362"/>
      <c r="K13" s="362"/>
      <c r="L13" s="362"/>
      <c r="M13" s="362"/>
      <c r="N13" s="362"/>
      <c r="O13" s="362"/>
      <c r="P13" s="362"/>
      <c r="Q13" s="362"/>
      <c r="R13" s="362"/>
    </row>
    <row r="14" spans="1:18">
      <c r="A14" s="36"/>
      <c r="B14" s="36"/>
      <c r="C14" s="36"/>
      <c r="D14" s="36"/>
      <c r="E14" s="36"/>
      <c r="F14" s="36"/>
      <c r="G14" s="36"/>
      <c r="H14" s="36"/>
      <c r="I14" s="36"/>
      <c r="J14" s="362"/>
      <c r="K14" s="362"/>
      <c r="L14" s="362"/>
      <c r="M14" s="362"/>
      <c r="N14" s="362"/>
      <c r="O14" s="362"/>
      <c r="P14" s="362"/>
      <c r="Q14" s="362"/>
      <c r="R14" s="362"/>
    </row>
    <row r="15" spans="1:18">
      <c r="A15" s="36"/>
      <c r="B15" s="36"/>
      <c r="C15" s="36"/>
      <c r="D15" s="36"/>
      <c r="E15" s="36"/>
      <c r="F15" s="36"/>
      <c r="G15" s="36"/>
      <c r="H15" s="36"/>
      <c r="I15" s="36"/>
      <c r="J15" s="362"/>
      <c r="K15" s="362"/>
      <c r="L15" s="362"/>
      <c r="M15" s="362"/>
      <c r="N15" s="362"/>
      <c r="O15" s="362"/>
      <c r="P15" s="362"/>
      <c r="Q15" s="362"/>
      <c r="R15" s="362"/>
    </row>
    <row r="16" spans="1:18">
      <c r="B16" s="36"/>
      <c r="C16" s="36"/>
      <c r="D16" s="36"/>
      <c r="E16" s="36"/>
      <c r="F16" s="36"/>
      <c r="G16" s="36"/>
      <c r="H16" s="36"/>
      <c r="I16" s="36"/>
      <c r="J16" s="362"/>
      <c r="K16" s="362"/>
      <c r="L16" s="362"/>
      <c r="M16" s="362"/>
      <c r="N16" s="362"/>
      <c r="O16" s="362"/>
      <c r="P16" s="362"/>
      <c r="Q16" s="362"/>
      <c r="R16" s="362"/>
    </row>
    <row r="17" spans="1:18">
      <c r="B17" s="36"/>
      <c r="C17" s="36"/>
      <c r="D17" s="36"/>
      <c r="E17" s="36"/>
      <c r="F17" s="36"/>
      <c r="G17" s="36"/>
      <c r="H17" s="36"/>
      <c r="I17" s="36"/>
      <c r="J17" s="362"/>
      <c r="K17" s="362"/>
      <c r="L17" s="362"/>
      <c r="M17" s="362"/>
      <c r="N17" s="362"/>
      <c r="O17" s="362"/>
      <c r="P17" s="362"/>
      <c r="Q17" s="362"/>
      <c r="R17" s="362"/>
    </row>
    <row r="18" spans="1:18" ht="16" thickBot="1">
      <c r="B18" s="36"/>
      <c r="C18" s="36"/>
      <c r="D18" s="36"/>
      <c r="E18" s="36"/>
      <c r="F18" s="36"/>
      <c r="G18" s="36"/>
      <c r="H18" s="36"/>
      <c r="I18" s="36"/>
      <c r="J18" s="362"/>
      <c r="K18" s="362"/>
      <c r="L18" s="362"/>
      <c r="M18" s="362"/>
      <c r="N18" s="362"/>
      <c r="O18" s="362"/>
      <c r="P18" s="362"/>
      <c r="Q18" s="362"/>
      <c r="R18" s="362"/>
    </row>
    <row r="19" spans="1:18">
      <c r="A19" s="653" t="s">
        <v>116</v>
      </c>
      <c r="B19" s="654"/>
      <c r="C19" s="770" t="s">
        <v>412</v>
      </c>
      <c r="D19" s="770"/>
      <c r="E19" s="770"/>
      <c r="F19" s="770"/>
      <c r="G19" s="770"/>
      <c r="H19" s="770"/>
      <c r="I19" s="771"/>
      <c r="J19" s="362"/>
      <c r="K19" s="362"/>
      <c r="L19" s="362"/>
      <c r="M19" s="362"/>
      <c r="N19" s="362"/>
      <c r="O19" s="362"/>
      <c r="P19" s="362"/>
      <c r="Q19" s="362"/>
      <c r="R19" s="362"/>
    </row>
    <row r="20" spans="1:18">
      <c r="A20" s="633" t="s">
        <v>120</v>
      </c>
      <c r="B20" s="634"/>
      <c r="C20" s="649"/>
      <c r="D20" s="649"/>
      <c r="E20" s="649"/>
      <c r="F20" s="649"/>
      <c r="G20" s="649"/>
      <c r="H20" s="649"/>
      <c r="I20" s="650"/>
      <c r="J20" s="362"/>
      <c r="K20" s="362"/>
      <c r="L20" s="362"/>
      <c r="M20" s="362"/>
      <c r="N20" s="362"/>
      <c r="O20" s="362"/>
      <c r="P20" s="362"/>
      <c r="Q20" s="362"/>
      <c r="R20" s="362"/>
    </row>
    <row r="21" spans="1:18">
      <c r="A21" s="633" t="s">
        <v>119</v>
      </c>
      <c r="B21" s="634"/>
      <c r="C21" s="649" t="s">
        <v>413</v>
      </c>
      <c r="D21" s="649"/>
      <c r="E21" s="649"/>
      <c r="F21" s="649"/>
      <c r="G21" s="649"/>
      <c r="H21" s="649"/>
      <c r="I21" s="650"/>
      <c r="J21" s="362"/>
      <c r="K21" s="362"/>
      <c r="L21" s="362"/>
      <c r="M21" s="362"/>
      <c r="N21" s="362"/>
      <c r="O21" s="362"/>
      <c r="P21" s="362"/>
      <c r="Q21" s="362"/>
      <c r="R21" s="362"/>
    </row>
    <row r="22" spans="1:18" ht="14.5" customHeight="1">
      <c r="A22" s="633" t="s">
        <v>51</v>
      </c>
      <c r="B22" s="634"/>
      <c r="C22" s="772" t="s">
        <v>414</v>
      </c>
      <c r="D22" s="772"/>
      <c r="E22" s="772"/>
      <c r="F22" s="772"/>
      <c r="G22" s="772"/>
      <c r="H22" s="772"/>
      <c r="I22" s="773"/>
      <c r="J22" s="362"/>
      <c r="K22" s="362"/>
      <c r="L22" s="362"/>
      <c r="M22" s="362"/>
      <c r="N22" s="362"/>
      <c r="O22" s="362"/>
      <c r="P22" s="362"/>
      <c r="Q22" s="362"/>
      <c r="R22" s="362"/>
    </row>
    <row r="23" spans="1:18">
      <c r="A23" s="633" t="s">
        <v>52</v>
      </c>
      <c r="B23" s="634"/>
      <c r="C23" s="772" t="s">
        <v>415</v>
      </c>
      <c r="D23" s="772"/>
      <c r="E23" s="772"/>
      <c r="F23" s="772"/>
      <c r="G23" s="772"/>
      <c r="H23" s="772"/>
      <c r="I23" s="773"/>
      <c r="J23" s="362"/>
      <c r="K23" s="362"/>
      <c r="L23" s="362"/>
      <c r="M23" s="362"/>
      <c r="N23" s="362"/>
      <c r="O23" s="362"/>
      <c r="P23" s="362"/>
      <c r="Q23" s="362"/>
      <c r="R23" s="362"/>
    </row>
    <row r="24" spans="1:18">
      <c r="A24" s="633" t="s">
        <v>53</v>
      </c>
      <c r="B24" s="634"/>
      <c r="C24" s="772" t="s">
        <v>416</v>
      </c>
      <c r="D24" s="772"/>
      <c r="E24" s="772"/>
      <c r="F24" s="772"/>
      <c r="G24" s="772"/>
      <c r="H24" s="772"/>
      <c r="I24" s="773"/>
      <c r="J24" s="362"/>
      <c r="K24" s="362"/>
      <c r="L24" s="362"/>
      <c r="M24" s="362"/>
      <c r="N24" s="362"/>
      <c r="O24" s="362"/>
      <c r="P24" s="362"/>
      <c r="Q24" s="362"/>
      <c r="R24" s="362"/>
    </row>
    <row r="25" spans="1:18">
      <c r="A25" s="633" t="s">
        <v>54</v>
      </c>
      <c r="B25" s="634"/>
      <c r="C25" s="774" t="s">
        <v>417</v>
      </c>
      <c r="D25" s="649"/>
      <c r="E25" s="649"/>
      <c r="F25" s="649"/>
      <c r="G25" s="649"/>
      <c r="H25" s="649"/>
      <c r="I25" s="650"/>
      <c r="J25" s="362"/>
      <c r="K25" s="362"/>
      <c r="L25" s="362"/>
      <c r="M25" s="362"/>
      <c r="N25" s="362"/>
      <c r="O25" s="362"/>
      <c r="P25" s="362"/>
      <c r="Q25" s="362"/>
      <c r="R25" s="362"/>
    </row>
    <row r="26" spans="1:18">
      <c r="A26" s="633" t="s">
        <v>55</v>
      </c>
      <c r="B26" s="634"/>
      <c r="C26" s="775">
        <v>397687</v>
      </c>
      <c r="D26" s="649"/>
      <c r="E26" s="649"/>
      <c r="F26" s="649"/>
      <c r="G26" s="649"/>
      <c r="H26" s="649"/>
      <c r="I26" s="650"/>
      <c r="J26" s="362"/>
      <c r="K26" s="362"/>
      <c r="L26" s="362"/>
      <c r="M26" s="362"/>
      <c r="N26" s="362"/>
      <c r="O26" s="362"/>
      <c r="P26" s="362"/>
      <c r="Q26" s="362"/>
      <c r="R26" s="362"/>
    </row>
    <row r="27" spans="1:18" ht="19.5" customHeight="1">
      <c r="A27" s="633" t="s">
        <v>56</v>
      </c>
      <c r="B27" s="634"/>
      <c r="C27" s="635" t="s">
        <v>57</v>
      </c>
      <c r="D27" s="635"/>
      <c r="E27" s="635"/>
      <c r="F27" s="635"/>
      <c r="G27" s="635"/>
      <c r="H27" s="635"/>
      <c r="I27" s="636"/>
      <c r="J27" s="362"/>
      <c r="K27" s="362"/>
      <c r="L27" s="362"/>
      <c r="M27" s="362"/>
      <c r="N27" s="362"/>
      <c r="O27" s="362"/>
      <c r="P27" s="362"/>
      <c r="Q27" s="362"/>
      <c r="R27" s="362"/>
    </row>
    <row r="28" spans="1:18" ht="33" customHeight="1" thickBot="1">
      <c r="A28" s="637" t="s">
        <v>58</v>
      </c>
      <c r="B28" s="638"/>
      <c r="C28" s="639" t="s">
        <v>59</v>
      </c>
      <c r="D28" s="639"/>
      <c r="E28" s="639"/>
      <c r="F28" s="639"/>
      <c r="G28" s="639"/>
      <c r="H28" s="639"/>
      <c r="I28" s="640"/>
      <c r="J28" s="362"/>
      <c r="K28" s="362"/>
      <c r="L28" s="362"/>
      <c r="M28" s="362"/>
      <c r="N28" s="362"/>
      <c r="O28" s="362"/>
      <c r="P28" s="362"/>
      <c r="Q28" s="362"/>
      <c r="R28" s="362"/>
    </row>
    <row r="29" spans="1:18">
      <c r="A29" s="36"/>
      <c r="B29" s="36"/>
      <c r="C29" s="36"/>
      <c r="D29" s="36"/>
      <c r="E29" s="36"/>
      <c r="F29" s="36"/>
      <c r="G29" s="36"/>
      <c r="H29" s="36"/>
      <c r="I29" s="36"/>
      <c r="J29" s="362"/>
      <c r="K29" s="362"/>
      <c r="L29" s="362"/>
      <c r="M29" s="362"/>
      <c r="N29" s="362"/>
      <c r="O29" s="362"/>
      <c r="P29" s="362"/>
      <c r="Q29" s="362"/>
      <c r="R29" s="362"/>
    </row>
    <row r="30" spans="1:18" ht="16" thickBot="1">
      <c r="A30" s="641" t="s">
        <v>63</v>
      </c>
      <c r="B30" s="641"/>
      <c r="C30" s="641"/>
      <c r="D30" s="641"/>
      <c r="E30" s="641"/>
      <c r="F30" s="641"/>
      <c r="G30" s="641"/>
      <c r="H30" s="641"/>
      <c r="I30" s="641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1:18" ht="14.5" customHeight="1">
      <c r="A31" s="642" t="s">
        <v>60</v>
      </c>
      <c r="B31" s="643"/>
      <c r="C31" s="626" t="s">
        <v>61</v>
      </c>
      <c r="D31" s="626"/>
      <c r="E31" s="647" t="s">
        <v>64</v>
      </c>
      <c r="F31" s="647"/>
      <c r="G31" s="628" t="s">
        <v>65</v>
      </c>
      <c r="H31" s="628"/>
      <c r="I31" s="630" t="s">
        <v>66</v>
      </c>
      <c r="J31" s="362"/>
      <c r="K31" s="362"/>
      <c r="L31" s="362"/>
      <c r="M31" s="362"/>
      <c r="N31" s="362"/>
      <c r="O31" s="362"/>
      <c r="P31" s="362"/>
      <c r="Q31" s="362"/>
      <c r="R31" s="362"/>
    </row>
    <row r="32" spans="1:18" ht="16" thickBot="1">
      <c r="A32" s="644"/>
      <c r="B32" s="645"/>
      <c r="C32" s="646"/>
      <c r="D32" s="646"/>
      <c r="E32" s="648"/>
      <c r="F32" s="648"/>
      <c r="G32" s="629"/>
      <c r="H32" s="629"/>
      <c r="I32" s="631"/>
      <c r="J32" s="362"/>
      <c r="K32" s="362"/>
      <c r="L32" s="362"/>
      <c r="M32" s="362"/>
      <c r="N32" s="362"/>
      <c r="O32" s="362"/>
      <c r="P32" s="362"/>
      <c r="Q32" s="362"/>
      <c r="R32" s="362"/>
    </row>
    <row r="33" spans="1:18">
      <c r="A33" s="626"/>
      <c r="B33" s="626"/>
      <c r="C33" s="626"/>
      <c r="D33" s="626"/>
      <c r="E33" s="626"/>
      <c r="F33" s="626"/>
      <c r="G33" s="626"/>
      <c r="H33" s="626"/>
      <c r="I33" s="626"/>
      <c r="J33" s="362"/>
      <c r="K33" s="362"/>
      <c r="L33" s="362"/>
      <c r="M33" s="362"/>
      <c r="N33" s="362"/>
      <c r="O33" s="362"/>
      <c r="P33" s="362"/>
      <c r="Q33" s="362"/>
      <c r="R33" s="362"/>
    </row>
    <row r="34" spans="1:18">
      <c r="A34" s="627"/>
      <c r="B34" s="627"/>
      <c r="C34" s="627"/>
      <c r="D34" s="627"/>
      <c r="E34" s="627"/>
      <c r="F34" s="627"/>
      <c r="G34" s="627"/>
      <c r="H34" s="627"/>
      <c r="I34" s="627"/>
      <c r="J34" s="362"/>
      <c r="K34" s="362"/>
      <c r="L34" s="362"/>
      <c r="M34" s="362"/>
      <c r="N34" s="362"/>
      <c r="O34" s="362"/>
      <c r="P34" s="362"/>
      <c r="Q34" s="362"/>
      <c r="R34" s="362"/>
    </row>
    <row r="35" spans="1:18">
      <c r="A35" s="627"/>
      <c r="B35" s="627"/>
      <c r="C35" s="627"/>
      <c r="D35" s="627"/>
      <c r="E35" s="627"/>
      <c r="F35" s="627"/>
      <c r="G35" s="627"/>
      <c r="H35" s="627"/>
      <c r="I35" s="627"/>
      <c r="J35" s="362"/>
      <c r="K35" s="362"/>
      <c r="L35" s="362"/>
      <c r="M35" s="362"/>
      <c r="N35" s="362"/>
      <c r="O35" s="362"/>
      <c r="P35" s="362"/>
      <c r="Q35" s="362"/>
      <c r="R35" s="362"/>
    </row>
    <row r="36" spans="1:18">
      <c r="A36" s="83"/>
      <c r="B36" s="83"/>
      <c r="C36" s="36"/>
      <c r="D36" s="36"/>
      <c r="E36" s="36"/>
      <c r="F36" s="36"/>
      <c r="G36" s="36"/>
      <c r="H36" s="36"/>
      <c r="I36" s="36"/>
      <c r="J36" s="362"/>
      <c r="K36" s="362"/>
      <c r="L36" s="362"/>
      <c r="M36" s="362"/>
      <c r="N36" s="362"/>
      <c r="O36" s="362"/>
      <c r="P36" s="362"/>
      <c r="Q36" s="362"/>
      <c r="R36" s="362"/>
    </row>
    <row r="37" spans="1:18">
      <c r="A37" s="36"/>
      <c r="B37" s="36"/>
      <c r="C37" s="36"/>
      <c r="D37" s="36"/>
      <c r="E37" s="36"/>
      <c r="F37" s="36"/>
      <c r="G37" s="36"/>
      <c r="H37" s="36"/>
      <c r="I37" s="36"/>
      <c r="J37" s="362"/>
      <c r="K37" s="362"/>
      <c r="L37" s="362"/>
      <c r="M37" s="362"/>
      <c r="N37" s="362"/>
      <c r="O37" s="362"/>
      <c r="P37" s="362"/>
      <c r="Q37" s="362"/>
      <c r="R37" s="362"/>
    </row>
    <row r="38" spans="1:18">
      <c r="A38" s="36"/>
      <c r="B38" s="36"/>
      <c r="C38" s="36"/>
      <c r="D38" s="36"/>
      <c r="E38" s="36"/>
      <c r="F38" s="36"/>
      <c r="G38" s="36"/>
      <c r="H38" s="36"/>
      <c r="I38" s="36"/>
      <c r="J38" s="362"/>
      <c r="K38" s="362"/>
      <c r="L38" s="362"/>
      <c r="M38" s="362"/>
      <c r="N38" s="362"/>
      <c r="O38" s="362"/>
      <c r="P38" s="362"/>
      <c r="Q38" s="362"/>
      <c r="R38" s="362"/>
    </row>
    <row r="39" spans="1:18">
      <c r="A39" s="36"/>
      <c r="B39" s="36"/>
      <c r="C39" s="36"/>
      <c r="D39" s="36"/>
      <c r="E39" s="36"/>
      <c r="F39" s="36"/>
      <c r="G39" s="36"/>
      <c r="H39" s="36"/>
      <c r="I39" s="36"/>
      <c r="J39" s="362"/>
      <c r="K39" s="362"/>
      <c r="L39" s="362"/>
      <c r="M39" s="362"/>
      <c r="N39" s="362"/>
      <c r="O39" s="362"/>
      <c r="P39" s="362"/>
      <c r="Q39" s="362"/>
      <c r="R39" s="362"/>
    </row>
    <row r="40" spans="1:18">
      <c r="A40" s="36"/>
      <c r="B40" s="36"/>
      <c r="C40" s="36"/>
      <c r="D40" s="36"/>
      <c r="E40" s="36"/>
      <c r="F40" s="36"/>
      <c r="G40" s="36"/>
      <c r="H40" s="36"/>
      <c r="I40" s="36"/>
      <c r="J40" s="362"/>
      <c r="K40" s="362"/>
      <c r="L40" s="362"/>
      <c r="M40" s="362"/>
      <c r="N40" s="362"/>
      <c r="O40" s="362"/>
      <c r="P40" s="362"/>
      <c r="Q40" s="362"/>
      <c r="R40" s="362"/>
    </row>
    <row r="41" spans="1:18">
      <c r="A41" s="36"/>
      <c r="B41" s="36"/>
      <c r="C41" s="36"/>
      <c r="D41" s="36"/>
      <c r="E41" s="36"/>
      <c r="F41" s="36"/>
      <c r="G41" s="36"/>
      <c r="H41" s="36"/>
      <c r="I41" s="36"/>
      <c r="J41" s="362"/>
      <c r="K41" s="362"/>
      <c r="L41" s="362"/>
      <c r="M41" s="362"/>
      <c r="N41" s="362"/>
      <c r="O41" s="362"/>
      <c r="P41" s="362"/>
      <c r="Q41" s="362"/>
      <c r="R41" s="362"/>
    </row>
    <row r="42" spans="1:18">
      <c r="A42" s="36"/>
      <c r="B42" s="36"/>
      <c r="C42" s="36"/>
      <c r="D42" s="36"/>
      <c r="E42" s="36"/>
      <c r="F42" s="36"/>
      <c r="G42" s="36"/>
      <c r="H42" s="36"/>
      <c r="I42" s="36"/>
      <c r="J42" s="362"/>
      <c r="K42" s="362"/>
      <c r="L42" s="362"/>
      <c r="M42" s="362"/>
      <c r="N42" s="362"/>
      <c r="O42" s="362"/>
      <c r="P42" s="362"/>
      <c r="Q42" s="362"/>
      <c r="R42" s="362"/>
    </row>
    <row r="43" spans="1:18">
      <c r="A43" s="36"/>
      <c r="B43" s="36"/>
      <c r="C43" s="36"/>
      <c r="D43" s="36"/>
      <c r="E43" s="36"/>
      <c r="F43" s="36"/>
      <c r="G43" s="36"/>
      <c r="H43" s="36"/>
      <c r="I43" s="36"/>
    </row>
    <row r="44" spans="1:18">
      <c r="A44" s="36"/>
      <c r="B44" s="36"/>
      <c r="C44" s="36"/>
      <c r="D44" s="36"/>
      <c r="E44" s="36"/>
      <c r="F44" s="36"/>
      <c r="G44" s="36"/>
      <c r="H44" s="36"/>
      <c r="I44" s="36"/>
    </row>
    <row r="45" spans="1:18">
      <c r="A45" s="36"/>
      <c r="B45" s="36"/>
      <c r="C45" s="36"/>
      <c r="D45" s="36"/>
      <c r="E45" s="36"/>
      <c r="F45" s="36"/>
      <c r="G45" s="36"/>
      <c r="H45" s="36"/>
      <c r="I45" s="36"/>
    </row>
    <row r="46" spans="1:18">
      <c r="A46" s="36"/>
      <c r="B46" s="36"/>
      <c r="C46" s="36"/>
      <c r="D46" s="36"/>
      <c r="E46" s="36"/>
      <c r="F46" s="36"/>
      <c r="G46" s="36"/>
      <c r="H46" s="36"/>
      <c r="I46" s="36"/>
    </row>
  </sheetData>
  <mergeCells count="30">
    <mergeCell ref="A26:B26"/>
    <mergeCell ref="C26:I26"/>
    <mergeCell ref="A6:I6"/>
    <mergeCell ref="A8:I10"/>
    <mergeCell ref="A22:B22"/>
    <mergeCell ref="C22:I22"/>
    <mergeCell ref="A23:B23"/>
    <mergeCell ref="C23:I23"/>
    <mergeCell ref="A19:B19"/>
    <mergeCell ref="C19:I19"/>
    <mergeCell ref="A20:B20"/>
    <mergeCell ref="C20:I20"/>
    <mergeCell ref="A21:B21"/>
    <mergeCell ref="C21:I21"/>
    <mergeCell ref="A33:I35"/>
    <mergeCell ref="G31:H32"/>
    <mergeCell ref="I31:I32"/>
    <mergeCell ref="A7:I7"/>
    <mergeCell ref="A27:B27"/>
    <mergeCell ref="C27:I27"/>
    <mergeCell ref="A28:B28"/>
    <mergeCell ref="C28:I28"/>
    <mergeCell ref="A30:I30"/>
    <mergeCell ref="A31:B32"/>
    <mergeCell ref="C31:D32"/>
    <mergeCell ref="E31:F32"/>
    <mergeCell ref="A24:B24"/>
    <mergeCell ref="C24:I24"/>
    <mergeCell ref="A25:B25"/>
    <mergeCell ref="C25:I25"/>
  </mergeCells>
  <hyperlinks>
    <hyperlink ref="C25" r:id="rId1" xr:uid="{61926A20-4F64-4C40-B3C5-7178CCF7A5B0}"/>
  </hyperlinks>
  <pageMargins left="0.7" right="0.7" top="0.75" bottom="0.75" header="0.3" footer="0.3"/>
  <pageSetup paperSize="9"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view="pageBreakPreview" zoomScale="60" zoomScaleNormal="100" workbookViewId="0">
      <selection activeCell="B49" sqref="B49"/>
    </sheetView>
  </sheetViews>
  <sheetFormatPr baseColWidth="10" defaultColWidth="8.83203125" defaultRowHeight="15"/>
  <cols>
    <col min="1" max="1" width="25.5" customWidth="1"/>
    <col min="2" max="2" width="79" bestFit="1" customWidth="1"/>
    <col min="3" max="3" width="70" bestFit="1" customWidth="1"/>
  </cols>
  <sheetData>
    <row r="1" spans="1:3" ht="20" thickBot="1">
      <c r="A1" s="333" t="s">
        <v>266</v>
      </c>
    </row>
    <row r="2" spans="1:3" ht="16" thickBot="1">
      <c r="A2" s="341" t="s">
        <v>288</v>
      </c>
      <c r="B2" s="342" t="s">
        <v>289</v>
      </c>
      <c r="C2" s="343" t="s">
        <v>294</v>
      </c>
    </row>
    <row r="3" spans="1:3">
      <c r="A3" s="357" t="s">
        <v>267</v>
      </c>
      <c r="B3" s="344" t="s">
        <v>291</v>
      </c>
      <c r="C3" s="251" t="s">
        <v>290</v>
      </c>
    </row>
    <row r="4" spans="1:3">
      <c r="A4" s="358" t="s">
        <v>268</v>
      </c>
      <c r="B4" s="345" t="s">
        <v>292</v>
      </c>
      <c r="C4" s="346" t="s">
        <v>293</v>
      </c>
    </row>
    <row r="5" spans="1:3">
      <c r="A5" s="358" t="s">
        <v>269</v>
      </c>
      <c r="B5" s="345" t="s">
        <v>295</v>
      </c>
      <c r="C5" s="346" t="s">
        <v>293</v>
      </c>
    </row>
    <row r="6" spans="1:3">
      <c r="A6" s="358" t="s">
        <v>213</v>
      </c>
      <c r="B6" s="345" t="s">
        <v>296</v>
      </c>
      <c r="C6" s="249" t="s">
        <v>298</v>
      </c>
    </row>
    <row r="7" spans="1:3">
      <c r="A7" s="358" t="s">
        <v>270</v>
      </c>
      <c r="B7" s="345" t="s">
        <v>297</v>
      </c>
      <c r="C7" s="346" t="s">
        <v>293</v>
      </c>
    </row>
    <row r="8" spans="1:3">
      <c r="A8" s="358" t="s">
        <v>271</v>
      </c>
      <c r="B8" s="345" t="s">
        <v>299</v>
      </c>
      <c r="C8" s="249" t="s">
        <v>300</v>
      </c>
    </row>
    <row r="9" spans="1:3">
      <c r="A9" s="358" t="s">
        <v>272</v>
      </c>
      <c r="B9" s="345" t="s">
        <v>301</v>
      </c>
      <c r="C9" s="346" t="s">
        <v>293</v>
      </c>
    </row>
    <row r="10" spans="1:3">
      <c r="A10" s="358" t="s">
        <v>273</v>
      </c>
      <c r="B10" s="345" t="s">
        <v>302</v>
      </c>
      <c r="C10" s="249" t="s">
        <v>300</v>
      </c>
    </row>
    <row r="11" spans="1:3">
      <c r="A11" s="358" t="s">
        <v>274</v>
      </c>
      <c r="B11" s="345" t="s">
        <v>303</v>
      </c>
      <c r="C11" s="249" t="s">
        <v>300</v>
      </c>
    </row>
    <row r="12" spans="1:3">
      <c r="A12" s="358" t="s">
        <v>275</v>
      </c>
      <c r="B12" s="345" t="s">
        <v>304</v>
      </c>
      <c r="C12" s="249" t="s">
        <v>300</v>
      </c>
    </row>
    <row r="13" spans="1:3">
      <c r="A13" s="358" t="s">
        <v>276</v>
      </c>
      <c r="B13" s="345" t="s">
        <v>305</v>
      </c>
      <c r="C13" s="249" t="s">
        <v>300</v>
      </c>
    </row>
    <row r="14" spans="1:3">
      <c r="A14" s="358" t="s">
        <v>277</v>
      </c>
      <c r="B14" s="345" t="s">
        <v>338</v>
      </c>
      <c r="C14" s="249" t="s">
        <v>306</v>
      </c>
    </row>
    <row r="15" spans="1:3">
      <c r="A15" s="358" t="s">
        <v>337</v>
      </c>
      <c r="B15" s="345" t="s">
        <v>339</v>
      </c>
      <c r="C15" s="249" t="s">
        <v>300</v>
      </c>
    </row>
    <row r="16" spans="1:3">
      <c r="A16" s="358" t="s">
        <v>282</v>
      </c>
      <c r="B16" s="345" t="s">
        <v>307</v>
      </c>
      <c r="C16" s="249" t="s">
        <v>308</v>
      </c>
    </row>
    <row r="17" spans="1:3">
      <c r="A17" s="358" t="s">
        <v>283</v>
      </c>
      <c r="B17" s="345" t="s">
        <v>309</v>
      </c>
      <c r="C17" s="249" t="s">
        <v>310</v>
      </c>
    </row>
    <row r="18" spans="1:3" ht="32">
      <c r="A18" s="358" t="s">
        <v>284</v>
      </c>
      <c r="B18" s="356" t="s">
        <v>311</v>
      </c>
      <c r="C18" s="359" t="s">
        <v>312</v>
      </c>
    </row>
    <row r="19" spans="1:3">
      <c r="A19" s="358" t="s">
        <v>285</v>
      </c>
      <c r="B19" s="345" t="s">
        <v>313</v>
      </c>
      <c r="C19" s="249" t="s">
        <v>314</v>
      </c>
    </row>
    <row r="20" spans="1:3">
      <c r="A20" s="358" t="s">
        <v>286</v>
      </c>
      <c r="B20" s="345" t="s">
        <v>315</v>
      </c>
      <c r="C20" s="249" t="s">
        <v>317</v>
      </c>
    </row>
    <row r="21" spans="1:3">
      <c r="A21" s="358" t="s">
        <v>287</v>
      </c>
      <c r="B21" s="345" t="s">
        <v>316</v>
      </c>
      <c r="C21" s="249" t="s">
        <v>317</v>
      </c>
    </row>
  </sheetData>
  <sheetProtection password="C3D8" sheet="1" objects="1" scenarios="1"/>
  <hyperlinks>
    <hyperlink ref="A3" location="Sumarizácia!R1C1" display="Sumarizácia" xr:uid="{00000000-0004-0000-0100-000000000000}"/>
    <hyperlink ref="A4" location="'CBA - Agendové IS'!R1C1" display="CBA" xr:uid="{00000000-0004-0000-0100-000001000000}"/>
    <hyperlink ref="A5" location="'Analyza citlivosti - AgendovéIS'!R1C1" display="Analyza citlivosti" xr:uid="{00000000-0004-0000-0100-000002000000}"/>
    <hyperlink ref="A6" location="'Prínosy - Agendové IS'!R1C1" display="Prínosy" xr:uid="{00000000-0004-0000-0100-000003000000}"/>
    <hyperlink ref="A7" location="'Výdavky - Agendové IS'!R1C1" display="Výdavky" xr:uid="{00000000-0004-0000-0100-000004000000}"/>
    <hyperlink ref="A8" location="'Parametre - Agendové IS'!R1C1" display="Parametre" xr:uid="{00000000-0004-0000-0100-000005000000}"/>
    <hyperlink ref="A9" location="TCO!R1C1" display="TCO" xr:uid="{00000000-0004-0000-0100-000006000000}"/>
    <hyperlink ref="A10" location="'TCO Alt. 1 - SW'!R1C1" display="TCO Alt. 1 - SW" xr:uid="{00000000-0004-0000-0100-000007000000}"/>
    <hyperlink ref="A11" location="'TCO Alt. 1 - HW'!R1C1" display="TCO Alt. 1 - HW" xr:uid="{00000000-0004-0000-0100-000008000000}"/>
    <hyperlink ref="A12" location="'TCO Alt. 2 - SW'!R1C1" display="TCO Alt. 2 - SW" xr:uid="{00000000-0004-0000-0100-000009000000}"/>
    <hyperlink ref="A13" location="'TCO Alt. 2 - HW'!R1C1" display="TCO Alt. 2 - HW" xr:uid="{00000000-0004-0000-0100-00000A000000}"/>
    <hyperlink ref="A14" location="'Rozpočet - vývoj Aplikácií'!R1C1" display="Rozpočet - vývoj aplikácii" xr:uid="{00000000-0004-0000-0100-00000B000000}"/>
    <hyperlink ref="A16" location="'Slepý rozpočet'!R1C1" display="Slepý rozpočet" xr:uid="{00000000-0004-0000-0100-00000C000000}"/>
    <hyperlink ref="A17" location="Faktory!R1C1" display="Faktory" xr:uid="{00000000-0004-0000-0100-00000D000000}"/>
    <hyperlink ref="A18" location="'Meranie prínosov'!R1C1" display="Meranie prínosov" xr:uid="{00000000-0004-0000-0100-00000E000000}"/>
    <hyperlink ref="A19" location="'Procesné mapy'!R1C1" display="Procesné mapy" xr:uid="{00000000-0004-0000-0100-00000F000000}"/>
    <hyperlink ref="A20" location="'Procesy - AS IS'!R1C1" display="Procesy AS IS" xr:uid="{00000000-0004-0000-0100-000010000000}"/>
    <hyperlink ref="A21" location="'Procesy - TO BE'!R1C1" display="Procesy TO BE" xr:uid="{00000000-0004-0000-0100-000011000000}"/>
    <hyperlink ref="A15" location="'Rozpočet - HW a licencie'!R1C1" display="Rozpočet - HW a licencie" xr:uid="{00000000-0004-0000-0100-000012000000}"/>
  </hyperlink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N32"/>
  <sheetViews>
    <sheetView view="pageBreakPreview" zoomScaleNormal="100" zoomScaleSheetLayoutView="100" workbookViewId="0">
      <selection activeCell="I6" sqref="I6"/>
    </sheetView>
  </sheetViews>
  <sheetFormatPr baseColWidth="10" defaultColWidth="9.1640625" defaultRowHeight="15"/>
  <cols>
    <col min="1" max="1" width="9.1640625" style="503"/>
    <col min="2" max="2" width="9.1640625" style="503" customWidth="1"/>
    <col min="3" max="3" width="32" style="503" customWidth="1"/>
    <col min="4" max="4" width="13.5" style="503" bestFit="1" customWidth="1"/>
    <col min="5" max="5" width="13.83203125" style="503" bestFit="1" customWidth="1"/>
    <col min="6" max="10" width="9.1640625" style="503"/>
    <col min="11" max="11" width="32.33203125" style="503" customWidth="1"/>
    <col min="12" max="13" width="15.5" style="503" bestFit="1" customWidth="1"/>
    <col min="14" max="16384" width="9.1640625" style="503"/>
  </cols>
  <sheetData>
    <row r="1" spans="1:13" ht="21.75" customHeight="1" thickBot="1">
      <c r="A1" s="655" t="s">
        <v>354</v>
      </c>
      <c r="B1" s="655"/>
      <c r="C1" s="655"/>
      <c r="D1" s="502"/>
      <c r="E1" s="502"/>
      <c r="F1" s="502"/>
      <c r="G1" s="502"/>
      <c r="H1" s="502"/>
      <c r="I1" s="655" t="s">
        <v>355</v>
      </c>
      <c r="J1" s="655"/>
      <c r="K1" s="655"/>
    </row>
    <row r="2" spans="1:13" ht="60" customHeight="1">
      <c r="A2" s="656"/>
      <c r="B2" s="657"/>
      <c r="C2" s="658"/>
      <c r="D2" s="609" t="s">
        <v>411</v>
      </c>
      <c r="E2" s="590" t="s">
        <v>107</v>
      </c>
      <c r="I2" s="656"/>
      <c r="J2" s="657"/>
      <c r="K2" s="658"/>
      <c r="L2" s="609" t="str">
        <f>D2</f>
        <v>Ušetrené hospitalizačné dni</v>
      </c>
      <c r="M2" s="590" t="s">
        <v>107</v>
      </c>
    </row>
    <row r="3" spans="1:13">
      <c r="A3" s="363" t="s">
        <v>359</v>
      </c>
      <c r="B3" s="364"/>
      <c r="C3" s="365"/>
      <c r="D3" s="366">
        <f>D4+D5+D9+D13+D14</f>
        <v>3191871.7287953827</v>
      </c>
      <c r="E3" s="504">
        <f t="shared" ref="E3:E17" si="0">SUM(D3:D3)</f>
        <v>3191871.7287953827</v>
      </c>
      <c r="I3" s="363" t="s">
        <v>359</v>
      </c>
      <c r="J3" s="364"/>
      <c r="K3" s="365"/>
      <c r="L3" s="366">
        <f>L4+L5+L9+L13+L14</f>
        <v>4233466.0949999997</v>
      </c>
      <c r="M3" s="504">
        <f t="shared" ref="M3:M17" si="1">SUM(L3:L3)</f>
        <v>4233466.0949999997</v>
      </c>
    </row>
    <row r="4" spans="1:13">
      <c r="A4" s="367"/>
      <c r="B4" s="368" t="s">
        <v>70</v>
      </c>
      <c r="C4" s="369"/>
      <c r="D4" s="526">
        <f>'Parametre - Agendové IS'!I106+NPV(Faktory!$D$5,'Parametre - Agendové IS'!I107:I115)</f>
        <v>0</v>
      </c>
      <c r="E4" s="527">
        <f t="shared" si="0"/>
        <v>0</v>
      </c>
      <c r="I4" s="367"/>
      <c r="J4" s="368" t="s">
        <v>70</v>
      </c>
      <c r="K4" s="369"/>
      <c r="L4" s="526">
        <f>SUM('Parametre - Agendové IS'!I106:I115)</f>
        <v>0</v>
      </c>
      <c r="M4" s="527">
        <f t="shared" si="1"/>
        <v>0</v>
      </c>
    </row>
    <row r="5" spans="1:13">
      <c r="A5" s="367"/>
      <c r="B5" s="368" t="s">
        <v>217</v>
      </c>
      <c r="C5" s="369"/>
      <c r="D5" s="526">
        <f>SUM(D6:D8)</f>
        <v>2198266.9</v>
      </c>
      <c r="E5" s="527">
        <f t="shared" si="0"/>
        <v>2198266.9</v>
      </c>
      <c r="I5" s="367"/>
      <c r="J5" s="368" t="s">
        <v>217</v>
      </c>
      <c r="K5" s="369"/>
      <c r="L5" s="526">
        <f>SUM(L6:L8)</f>
        <v>2955393.9</v>
      </c>
      <c r="M5" s="527">
        <f t="shared" si="1"/>
        <v>2955393.9</v>
      </c>
    </row>
    <row r="6" spans="1:13">
      <c r="A6" s="370"/>
      <c r="B6" s="371"/>
      <c r="C6" s="372" t="s">
        <v>109</v>
      </c>
      <c r="D6" s="528">
        <f>('TCO TO BE- SW'!$E$26+NPV(Faktory!$D$5,'TCO TO BE- SW'!$E$27:$E$35)+'TCO TO BE- SW'!$E$46+NPV(Faktory!$D$5,'TCO TO BE- SW'!$E$47:$E$55))</f>
        <v>873163.89999999991</v>
      </c>
      <c r="E6" s="529">
        <f t="shared" si="0"/>
        <v>873163.89999999991</v>
      </c>
      <c r="I6" s="370"/>
      <c r="J6" s="371"/>
      <c r="K6" s="372" t="s">
        <v>109</v>
      </c>
      <c r="L6" s="528">
        <f>'TCO TO BE- SW'!$E$25</f>
        <v>1630290.9</v>
      </c>
      <c r="M6" s="529">
        <f t="shared" si="1"/>
        <v>1630290.9</v>
      </c>
    </row>
    <row r="7" spans="1:13">
      <c r="A7" s="370"/>
      <c r="B7" s="371"/>
      <c r="C7" s="372" t="s">
        <v>69</v>
      </c>
      <c r="D7" s="528">
        <f>('TCO TO BE- SW'!$E$5+NPV(Faktory!D$5,'TCO TO BE- SW'!$E$6:$E$14)+'TCO TO BE- SW'!$E$15+NPV(Faktory!$D$5,'TCO TO BE- SW'!$E$16:$E$24))</f>
        <v>298728</v>
      </c>
      <c r="E7" s="529">
        <f t="shared" si="0"/>
        <v>298728</v>
      </c>
      <c r="I7" s="370"/>
      <c r="J7" s="371"/>
      <c r="K7" s="372" t="s">
        <v>69</v>
      </c>
      <c r="L7" s="528">
        <f>('TCO TO BE- SW'!$E$4)</f>
        <v>298728</v>
      </c>
      <c r="M7" s="529">
        <f t="shared" si="1"/>
        <v>298728</v>
      </c>
    </row>
    <row r="8" spans="1:13">
      <c r="A8" s="370"/>
      <c r="B8" s="371"/>
      <c r="C8" s="372" t="s">
        <v>68</v>
      </c>
      <c r="D8" s="528">
        <f>('TCO TO BE - HW'!F4+NPV(Faktory!$D$5,'TCO TO BE - HW'!F5:F13)+'TCO TO BE - HW'!F14+NPV(Faktory!$D$5,'TCO TO BE - HW'!F15:F23)+'TCO TO BE - HW'!F24+NPV(Faktory!$D$5,'TCO TO BE - HW'!F25:F33))</f>
        <v>1026374.9999999999</v>
      </c>
      <c r="E8" s="529">
        <f t="shared" si="0"/>
        <v>1026374.9999999999</v>
      </c>
      <c r="I8" s="370"/>
      <c r="J8" s="371"/>
      <c r="K8" s="372" t="s">
        <v>68</v>
      </c>
      <c r="L8" s="528">
        <f>('TCO TO BE - HW'!$E$3)</f>
        <v>1026374.9999999999</v>
      </c>
      <c r="M8" s="529">
        <f t="shared" si="1"/>
        <v>1026374.9999999999</v>
      </c>
    </row>
    <row r="9" spans="1:13">
      <c r="A9" s="367"/>
      <c r="B9" s="368" t="s">
        <v>218</v>
      </c>
      <c r="C9" s="369"/>
      <c r="D9" s="526">
        <f>SUM(D10:D12)</f>
        <v>827967.7607681721</v>
      </c>
      <c r="E9" s="527">
        <f t="shared" si="0"/>
        <v>827967.7607681721</v>
      </c>
      <c r="I9" s="367"/>
      <c r="J9" s="368" t="s">
        <v>218</v>
      </c>
      <c r="K9" s="369"/>
      <c r="L9" s="526">
        <f>SUM(L10:L12)</f>
        <v>1104291.1950000001</v>
      </c>
      <c r="M9" s="527">
        <f t="shared" si="1"/>
        <v>1104291.1950000001</v>
      </c>
    </row>
    <row r="10" spans="1:13">
      <c r="A10" s="370"/>
      <c r="B10" s="371"/>
      <c r="C10" s="372" t="s">
        <v>109</v>
      </c>
      <c r="D10" s="528">
        <f>('TCO TO BE- SW'!E79+NPV(Faktory!$D$5,'TCO TO BE- SW'!$E$80:$E$88)+'TCO TO BE- SW'!$E$109+NPV(Faktory!$D$5,'TCO TO BE- SW'!$E$110:$E$118))</f>
        <v>226625.79398338887</v>
      </c>
      <c r="E10" s="529">
        <f t="shared" si="0"/>
        <v>226625.79398338887</v>
      </c>
      <c r="I10" s="370"/>
      <c r="J10" s="371"/>
      <c r="K10" s="372" t="s">
        <v>109</v>
      </c>
      <c r="L10" s="528">
        <f>'TCO TO BE- SW'!$E$78</f>
        <v>302259.19500000001</v>
      </c>
      <c r="M10" s="529">
        <f t="shared" si="1"/>
        <v>302259.19500000001</v>
      </c>
    </row>
    <row r="11" spans="1:13">
      <c r="A11" s="370"/>
      <c r="B11" s="371"/>
      <c r="C11" s="372" t="s">
        <v>69</v>
      </c>
      <c r="D11" s="528">
        <f>(NPV(Faktory!$D$5,'TCO TO BE- SW'!$E$59,'TCO TO BE- SW'!$E$60:$E$68))</f>
        <v>522615.79811270756</v>
      </c>
      <c r="E11" s="529">
        <f t="shared" si="0"/>
        <v>522615.79811270756</v>
      </c>
      <c r="I11" s="370"/>
      <c r="J11" s="371"/>
      <c r="K11" s="372" t="s">
        <v>69</v>
      </c>
      <c r="L11" s="528">
        <f>'TCO TO BE- SW'!$E$57</f>
        <v>697032</v>
      </c>
      <c r="M11" s="529">
        <f t="shared" si="1"/>
        <v>697032</v>
      </c>
    </row>
    <row r="12" spans="1:13">
      <c r="A12" s="370"/>
      <c r="B12" s="371"/>
      <c r="C12" s="372" t="s">
        <v>68</v>
      </c>
      <c r="D12" s="528">
        <f>(NPV(5%,'TCO TO BE - HW'!$F$36:$F$44)+NPV(5%,'TCO TO BE - HW'!$F$66:$F$74))</f>
        <v>78726.168672075757</v>
      </c>
      <c r="E12" s="529">
        <f t="shared" si="0"/>
        <v>78726.168672075757</v>
      </c>
      <c r="I12" s="370"/>
      <c r="J12" s="371"/>
      <c r="K12" s="372" t="s">
        <v>68</v>
      </c>
      <c r="L12" s="528">
        <f>'TCO TO BE - HW'!$E$34</f>
        <v>105000</v>
      </c>
      <c r="M12" s="529">
        <f t="shared" si="1"/>
        <v>105000</v>
      </c>
    </row>
    <row r="13" spans="1:13">
      <c r="A13" s="370"/>
      <c r="B13" s="368" t="s">
        <v>318</v>
      </c>
      <c r="C13" s="369"/>
      <c r="D13" s="592">
        <f>('TCO TO BE- SW'!$E$130+NPV(0.05,'TCO TO BE- SW'!$E$131:$E$139)+'TCO TO BE- SW'!$E$140+NPV(0.05,'TCO TO BE- SW'!$E$141:$E$149))</f>
        <v>165637.06802721089</v>
      </c>
      <c r="E13" s="527">
        <f t="shared" si="0"/>
        <v>165637.06802721089</v>
      </c>
      <c r="I13" s="370"/>
      <c r="J13" s="368" t="s">
        <v>318</v>
      </c>
      <c r="K13" s="369"/>
      <c r="L13" s="592">
        <f>'TCO TO BE- SW'!$E$129</f>
        <v>173781</v>
      </c>
      <c r="M13" s="527">
        <f t="shared" si="1"/>
        <v>173781</v>
      </c>
    </row>
    <row r="14" spans="1:13">
      <c r="A14" s="370"/>
      <c r="B14" s="368" t="s">
        <v>347</v>
      </c>
      <c r="C14" s="369"/>
      <c r="D14" s="592">
        <f>'TCO TO BE- SW'!F151+NPV(0.05,'TCO TO BE- SW'!F152:F160)+'TCO TO BE- SW'!F161+NPV(0.05,'TCO TO BE- SW'!F162:F170)</f>
        <v>0</v>
      </c>
      <c r="E14" s="527">
        <f t="shared" si="0"/>
        <v>0</v>
      </c>
      <c r="I14" s="370"/>
      <c r="J14" s="368" t="s">
        <v>347</v>
      </c>
      <c r="K14" s="369"/>
      <c r="L14" s="592">
        <f>'TCO TO BE- SW'!F150</f>
        <v>0</v>
      </c>
      <c r="M14" s="527">
        <f t="shared" si="1"/>
        <v>0</v>
      </c>
    </row>
    <row r="15" spans="1:13">
      <c r="A15" s="363" t="s">
        <v>213</v>
      </c>
      <c r="B15" s="364"/>
      <c r="C15" s="365"/>
      <c r="D15" s="524">
        <f>D16+D19</f>
        <v>4268716.8550295848</v>
      </c>
      <c r="E15" s="525">
        <f t="shared" si="0"/>
        <v>4268716.8550295848</v>
      </c>
      <c r="I15" s="363" t="s">
        <v>213</v>
      </c>
      <c r="J15" s="364"/>
      <c r="K15" s="365"/>
      <c r="L15" s="366">
        <f>L16+L19</f>
        <v>5805000</v>
      </c>
      <c r="M15" s="504">
        <f t="shared" si="1"/>
        <v>5805000</v>
      </c>
    </row>
    <row r="16" spans="1:13">
      <c r="A16" s="367"/>
      <c r="B16" s="368" t="s">
        <v>17</v>
      </c>
      <c r="C16" s="369"/>
      <c r="D16" s="526">
        <f>D17+D18</f>
        <v>0</v>
      </c>
      <c r="E16" s="527">
        <f t="shared" si="0"/>
        <v>0</v>
      </c>
      <c r="I16" s="367"/>
      <c r="J16" s="368" t="s">
        <v>17</v>
      </c>
      <c r="K16" s="369"/>
      <c r="L16" s="526">
        <f>L17+L18</f>
        <v>0</v>
      </c>
      <c r="M16" s="527">
        <f t="shared" si="1"/>
        <v>0</v>
      </c>
    </row>
    <row r="17" spans="1:14">
      <c r="A17" s="370"/>
      <c r="B17" s="371"/>
      <c r="C17" s="372" t="s">
        <v>47</v>
      </c>
      <c r="D17" s="528">
        <f>'Parametre - Agendové IS'!I116+NPV(Faktory!$D$3,'Parametre - Agendové IS'!I117:I125)</f>
        <v>0</v>
      </c>
      <c r="E17" s="529">
        <f t="shared" si="0"/>
        <v>0</v>
      </c>
      <c r="I17" s="370"/>
      <c r="J17" s="371"/>
      <c r="K17" s="372" t="s">
        <v>47</v>
      </c>
      <c r="L17" s="528">
        <f>SUM('Parametre - Agendové IS'!I116:I125)</f>
        <v>0</v>
      </c>
      <c r="M17" s="529">
        <f t="shared" si="1"/>
        <v>0</v>
      </c>
    </row>
    <row r="18" spans="1:14">
      <c r="A18" s="370"/>
      <c r="B18" s="371"/>
      <c r="C18" s="372" t="s">
        <v>48</v>
      </c>
      <c r="D18" s="528"/>
      <c r="E18" s="529">
        <f>'Prínosy - Agendové IS'!G15</f>
        <v>0</v>
      </c>
      <c r="F18" s="505"/>
      <c r="I18" s="370"/>
      <c r="J18" s="371"/>
      <c r="K18" s="372" t="s">
        <v>48</v>
      </c>
      <c r="L18" s="528"/>
      <c r="M18" s="529">
        <f>'Prínosy - Agendové IS'!G14</f>
        <v>0</v>
      </c>
      <c r="N18" s="505"/>
    </row>
    <row r="19" spans="1:14">
      <c r="A19" s="367"/>
      <c r="B19" s="368" t="s">
        <v>18</v>
      </c>
      <c r="C19" s="369"/>
      <c r="D19" s="526">
        <f>D20+D21+D23</f>
        <v>4268716.8550295848</v>
      </c>
      <c r="E19" s="527">
        <f>SUM(D19:D19)</f>
        <v>4268716.8550295848</v>
      </c>
      <c r="I19" s="367"/>
      <c r="J19" s="368" t="s">
        <v>18</v>
      </c>
      <c r="K19" s="369"/>
      <c r="L19" s="526">
        <f>L20+L21+L23</f>
        <v>5805000</v>
      </c>
      <c r="M19" s="527">
        <f>SUM(L19:L19)</f>
        <v>5805000</v>
      </c>
    </row>
    <row r="20" spans="1:14">
      <c r="A20" s="370"/>
      <c r="B20" s="371"/>
      <c r="C20" s="372" t="s">
        <v>215</v>
      </c>
      <c r="D20" s="528">
        <f>'Parametre - Agendové IS'!I96+NPV(Faktory!$D$5,'Parametre - Agendové IS'!I97:I105)</f>
        <v>0</v>
      </c>
      <c r="E20" s="529">
        <f>SUM(D20:D20)</f>
        <v>0</v>
      </c>
      <c r="I20" s="370"/>
      <c r="J20" s="371"/>
      <c r="K20" s="372" t="s">
        <v>215</v>
      </c>
      <c r="L20" s="528">
        <f>SUM('Parametre - Agendové IS'!I96:I105)</f>
        <v>0</v>
      </c>
      <c r="M20" s="529">
        <f>SUM(L20:L20)</f>
        <v>0</v>
      </c>
    </row>
    <row r="21" spans="1:14">
      <c r="A21" s="370"/>
      <c r="B21" s="371"/>
      <c r="C21" s="372" t="s">
        <v>214</v>
      </c>
      <c r="D21" s="528">
        <f>-('Parametre - Agendové IS'!I76+NPV(Faktory!$D$5,'Parametre - Agendové IS'!I77:I85))</f>
        <v>0</v>
      </c>
      <c r="E21" s="529">
        <f>SUM(D21:D21)</f>
        <v>0</v>
      </c>
      <c r="I21" s="370"/>
      <c r="J21" s="371"/>
      <c r="K21" s="372" t="s">
        <v>214</v>
      </c>
      <c r="L21" s="528">
        <f>-(SUM('Parametre - Agendové IS'!I76:I85))</f>
        <v>0</v>
      </c>
      <c r="M21" s="529">
        <f>SUM(L21:L21)</f>
        <v>0</v>
      </c>
    </row>
    <row r="22" spans="1:14">
      <c r="A22" s="370"/>
      <c r="B22" s="371"/>
      <c r="C22" s="372" t="s">
        <v>216</v>
      </c>
      <c r="D22" s="530" t="s">
        <v>219</v>
      </c>
      <c r="E22" s="531" t="s">
        <v>219</v>
      </c>
      <c r="I22" s="370"/>
      <c r="J22" s="371"/>
      <c r="K22" s="372" t="s">
        <v>216</v>
      </c>
      <c r="L22" s="528">
        <f>SUM('Parametre - Agendové IS'!I86:I95)</f>
        <v>0</v>
      </c>
      <c r="M22" s="529">
        <f>SUM(L22:L22)</f>
        <v>0</v>
      </c>
    </row>
    <row r="23" spans="1:14" ht="16" thickBot="1">
      <c r="A23" s="373"/>
      <c r="B23" s="374"/>
      <c r="C23" s="375" t="s">
        <v>39</v>
      </c>
      <c r="D23" s="532">
        <f>'Parametre - Agendové IS'!I126+NPV(Faktory!$D$5,'Parametre - Agendové IS'!I127:I135)</f>
        <v>4268716.8550295848</v>
      </c>
      <c r="E23" s="533">
        <f>SUM(D23:D23)</f>
        <v>4268716.8550295848</v>
      </c>
      <c r="I23" s="370"/>
      <c r="J23" s="371"/>
      <c r="K23" s="372" t="s">
        <v>39</v>
      </c>
      <c r="L23" s="528">
        <f>SUM('Parametre - Agendové IS'!I126:I135)</f>
        <v>5805000</v>
      </c>
      <c r="M23" s="534">
        <f>SUM(L23:L23)</f>
        <v>5805000</v>
      </c>
    </row>
    <row r="24" spans="1:14">
      <c r="A24" s="506"/>
      <c r="B24" s="368" t="s">
        <v>220</v>
      </c>
      <c r="C24" s="369"/>
      <c r="D24" s="591"/>
      <c r="E24" s="593"/>
      <c r="I24" s="506"/>
      <c r="J24" s="368" t="s">
        <v>220</v>
      </c>
      <c r="K24" s="369"/>
      <c r="L24" s="591"/>
      <c r="M24" s="593"/>
    </row>
    <row r="25" spans="1:14">
      <c r="A25" s="507"/>
      <c r="B25" s="508"/>
      <c r="C25" s="509" t="s">
        <v>222</v>
      </c>
      <c r="D25" s="510"/>
      <c r="E25" s="510"/>
      <c r="I25" s="507"/>
      <c r="J25" s="508"/>
      <c r="K25" s="509" t="s">
        <v>222</v>
      </c>
      <c r="L25" s="510"/>
      <c r="M25" s="510"/>
    </row>
    <row r="26" spans="1:14">
      <c r="A26" s="507"/>
      <c r="B26" s="508"/>
      <c r="C26" s="511" t="s">
        <v>221</v>
      </c>
      <c r="D26" s="510"/>
      <c r="E26" s="510"/>
      <c r="I26" s="507"/>
      <c r="J26" s="508"/>
      <c r="K26" s="511" t="s">
        <v>221</v>
      </c>
      <c r="L26" s="510"/>
      <c r="M26" s="510"/>
    </row>
    <row r="27" spans="1:14">
      <c r="A27" s="507"/>
      <c r="B27" s="508"/>
      <c r="C27" s="511" t="s">
        <v>221</v>
      </c>
      <c r="D27" s="510"/>
      <c r="E27" s="510"/>
      <c r="I27" s="507"/>
      <c r="J27" s="508"/>
      <c r="K27" s="511" t="s">
        <v>221</v>
      </c>
      <c r="L27" s="510"/>
      <c r="M27" s="510"/>
    </row>
    <row r="28" spans="1:14">
      <c r="C28" s="512"/>
      <c r="K28" s="512"/>
    </row>
    <row r="29" spans="1:14">
      <c r="C29" s="512"/>
      <c r="K29" s="512"/>
    </row>
    <row r="30" spans="1:14">
      <c r="C30" s="512"/>
    </row>
    <row r="32" spans="1:14">
      <c r="H32" s="513"/>
      <c r="I32" s="513"/>
    </row>
  </sheetData>
  <sheetProtection insertColumns="0" insertRows="0" deleteColumns="0" deleteRows="0"/>
  <mergeCells count="4">
    <mergeCell ref="I1:K1"/>
    <mergeCell ref="A1:C1"/>
    <mergeCell ref="I2:K2"/>
    <mergeCell ref="A2:C2"/>
  </mergeCells>
  <pageMargins left="0.7" right="0.7" top="0.75" bottom="0.75" header="0.3" footer="0.3"/>
  <pageSetup paperSize="9" scale="53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view="pageBreakPreview" zoomScale="120" zoomScaleNormal="100" zoomScaleSheetLayoutView="120" workbookViewId="0">
      <selection activeCell="L18" sqref="L18"/>
    </sheetView>
  </sheetViews>
  <sheetFormatPr baseColWidth="10" defaultColWidth="8.83203125" defaultRowHeight="15"/>
  <cols>
    <col min="1" max="1" width="9.33203125" customWidth="1"/>
    <col min="2" max="2" width="15" customWidth="1"/>
    <col min="3" max="3" width="15.1640625" customWidth="1"/>
    <col min="4" max="4" width="14.1640625" customWidth="1"/>
    <col min="5" max="5" width="14.5" customWidth="1"/>
    <col min="6" max="6" width="15.1640625" customWidth="1"/>
    <col min="7" max="7" width="13.6640625" customWidth="1"/>
    <col min="8" max="8" width="9.83203125" customWidth="1"/>
    <col min="9" max="9" width="22.6640625" customWidth="1"/>
    <col min="10" max="10" width="22.1640625" customWidth="1"/>
    <col min="11" max="11" width="20.5" customWidth="1"/>
    <col min="12" max="12" width="23.1640625" customWidth="1"/>
  </cols>
  <sheetData>
    <row r="1" spans="1:12" ht="16" thickBot="1">
      <c r="A1" s="9"/>
      <c r="B1" s="661" t="s">
        <v>36</v>
      </c>
      <c r="C1" s="662"/>
      <c r="D1" s="662"/>
      <c r="E1" s="662"/>
      <c r="F1" s="662"/>
      <c r="G1" s="663"/>
      <c r="H1" s="664" t="s">
        <v>16</v>
      </c>
      <c r="I1" s="665"/>
      <c r="J1" s="665"/>
      <c r="K1" s="665"/>
      <c r="L1" s="666"/>
    </row>
    <row r="2" spans="1:12" ht="32">
      <c r="A2" s="10"/>
      <c r="B2" s="664" t="s">
        <v>357</v>
      </c>
      <c r="C2" s="665"/>
      <c r="D2" s="666"/>
      <c r="E2" s="664" t="s">
        <v>358</v>
      </c>
      <c r="F2" s="665"/>
      <c r="G2" s="666"/>
      <c r="H2" s="54" t="s">
        <v>19</v>
      </c>
      <c r="I2" s="49" t="s">
        <v>20</v>
      </c>
      <c r="J2" s="12" t="s">
        <v>21</v>
      </c>
      <c r="K2" s="667" t="s">
        <v>22</v>
      </c>
      <c r="L2" s="668"/>
    </row>
    <row r="3" spans="1:12" ht="17" thickBot="1">
      <c r="A3" s="11" t="s">
        <v>23</v>
      </c>
      <c r="B3" s="14" t="s">
        <v>225</v>
      </c>
      <c r="C3" s="15" t="s">
        <v>169</v>
      </c>
      <c r="D3" s="16" t="s">
        <v>24</v>
      </c>
      <c r="E3" s="14" t="s">
        <v>225</v>
      </c>
      <c r="F3" s="15" t="s">
        <v>169</v>
      </c>
      <c r="G3" s="16" t="s">
        <v>24</v>
      </c>
      <c r="H3" s="55"/>
      <c r="I3" s="50"/>
      <c r="J3" s="13"/>
      <c r="K3" s="659"/>
      <c r="L3" s="660"/>
    </row>
    <row r="4" spans="1:12" ht="16">
      <c r="A4" s="48" t="s">
        <v>25</v>
      </c>
      <c r="B4" s="27">
        <f>'Prínosy - Agendové IS'!Q4-'Výdavky - Agendové IS'!T4</f>
        <v>0</v>
      </c>
      <c r="C4" s="26">
        <f>'Prínosy - Agendové IS'!R4-'Výdavky - Agendové IS'!U4</f>
        <v>-2365554.9</v>
      </c>
      <c r="D4" s="34">
        <f>C4-B4</f>
        <v>-2365554.9</v>
      </c>
      <c r="E4" s="27">
        <f>'Prínosy - Agendové IS'!T4-('Výdavky - Agendové IS'!T4/1.2)</f>
        <v>0</v>
      </c>
      <c r="F4" s="27">
        <f>'Prínosy - Agendové IS'!U4-('Výdavky - Agendové IS'!U4/1.2)</f>
        <v>-1971295.75</v>
      </c>
      <c r="G4" s="34">
        <f t="shared" ref="G4:G13" si="0">F4-E4</f>
        <v>-1971295.75</v>
      </c>
      <c r="H4" s="56">
        <v>0</v>
      </c>
      <c r="I4" s="51">
        <f>D4*(1/(1+Faktory!$D$3)^H4)</f>
        <v>-2365554.9</v>
      </c>
      <c r="J4" s="58">
        <f>G4*(1/(1+Faktory!$D$5)^H4)</f>
        <v>-1971295.75</v>
      </c>
      <c r="K4" s="57">
        <f>J4</f>
        <v>-1971295.75</v>
      </c>
      <c r="L4" s="31" t="str">
        <f>IF(K4&gt;0,"Rok návratu investície","&lt;")</f>
        <v>&lt;</v>
      </c>
    </row>
    <row r="5" spans="1:12" ht="16">
      <c r="A5" s="33" t="s">
        <v>26</v>
      </c>
      <c r="B5" s="27">
        <f>'Prínosy - Agendové IS'!Q5-'Výdavky - Agendové IS'!T5</f>
        <v>0</v>
      </c>
      <c r="C5" s="26">
        <f>'Prínosy - Agendové IS'!R5-'Výdavky - Agendové IS'!U5</f>
        <v>-312573</v>
      </c>
      <c r="D5" s="29">
        <f t="shared" ref="D5:D13" si="1">C5-B5</f>
        <v>-312573</v>
      </c>
      <c r="E5" s="27">
        <f>'Prínosy - Agendové IS'!T5-('Výdavky - Agendové IS'!T5/1.2)</f>
        <v>0</v>
      </c>
      <c r="F5" s="27">
        <f>'Prínosy - Agendové IS'!U5-('Výdavky - Agendové IS'!U5/1.2)</f>
        <v>-260477.5</v>
      </c>
      <c r="G5" s="29">
        <f t="shared" si="0"/>
        <v>-260477.5</v>
      </c>
      <c r="H5" s="56">
        <v>1</v>
      </c>
      <c r="I5" s="52">
        <f>D5*(1/(1+Faktory!$D$3)^H5)</f>
        <v>-300550.9615384615</v>
      </c>
      <c r="J5" s="59">
        <f>G5*(1/(1+Faktory!$D$5)^H5)</f>
        <v>-248073.8095238095</v>
      </c>
      <c r="K5" s="57">
        <f>J5+K4</f>
        <v>-2219369.5595238097</v>
      </c>
      <c r="L5" s="31" t="str">
        <f>IF(L4="&lt;",IF(K5&gt;0,"Rok návratu investície","&lt;"),"&gt;")</f>
        <v>&lt;</v>
      </c>
    </row>
    <row r="6" spans="1:12" ht="16">
      <c r="A6" s="33" t="s">
        <v>27</v>
      </c>
      <c r="B6" s="27">
        <f>'Prínosy - Agendové IS'!Q6-'Výdavky - Agendové IS'!T6</f>
        <v>0</v>
      </c>
      <c r="C6" s="26">
        <f>'Prínosy - Agendové IS'!R6-'Výdavky - Agendové IS'!U6</f>
        <v>-451047</v>
      </c>
      <c r="D6" s="29">
        <f t="shared" si="1"/>
        <v>-451047</v>
      </c>
      <c r="E6" s="27">
        <f>'Prínosy - Agendové IS'!T6-('Výdavky - Agendové IS'!T6/1.2)</f>
        <v>0</v>
      </c>
      <c r="F6" s="27">
        <f>'Prínosy - Agendové IS'!U6-('Výdavky - Agendové IS'!U6/1.2)</f>
        <v>-240872.5</v>
      </c>
      <c r="G6" s="29">
        <f t="shared" si="0"/>
        <v>-240872.5</v>
      </c>
      <c r="H6" s="56">
        <v>2</v>
      </c>
      <c r="I6" s="52">
        <f>D6*(1/(1+Faktory!$D$3)^H6)</f>
        <v>-417018.30621301773</v>
      </c>
      <c r="J6" s="59">
        <f>G6*(1/(1+Faktory!$D$5)^H6)</f>
        <v>-218478.4580498866</v>
      </c>
      <c r="K6" s="57">
        <f t="shared" ref="K6:K13" si="2">J6+K5</f>
        <v>-2437848.0175736961</v>
      </c>
      <c r="L6" s="31" t="str">
        <f t="shared" ref="L6:L13" si="3">IF(L5="&lt;",IF(K6&gt;0,"Rok návratu investície","&lt;"),"&gt;")</f>
        <v>&lt;</v>
      </c>
    </row>
    <row r="7" spans="1:12" ht="16">
      <c r="A7" s="33" t="s">
        <v>28</v>
      </c>
      <c r="B7" s="27">
        <f>'Prínosy - Agendové IS'!Q7-'Výdavky - Agendové IS'!T7</f>
        <v>0</v>
      </c>
      <c r="C7" s="26">
        <f>'Prínosy - Agendové IS'!R7-'Výdavky - Agendové IS'!U7</f>
        <v>-157755.88500000001</v>
      </c>
      <c r="D7" s="29">
        <f t="shared" si="1"/>
        <v>-157755.88500000001</v>
      </c>
      <c r="E7" s="27">
        <f>'Prínosy - Agendové IS'!T7-('Výdavky - Agendové IS'!T7/1.2)</f>
        <v>0</v>
      </c>
      <c r="F7" s="27">
        <f>'Prínosy - Agendové IS'!U7-('Výdavky - Agendové IS'!U7/1.2)</f>
        <v>273536.76249999995</v>
      </c>
      <c r="G7" s="29">
        <f t="shared" si="0"/>
        <v>273536.76249999995</v>
      </c>
      <c r="H7" s="56">
        <v>3</v>
      </c>
      <c r="I7" s="52">
        <f>D7*(1/(1+Faktory!$D$3)^H7)</f>
        <v>-140244.4073239076</v>
      </c>
      <c r="J7" s="59">
        <f>G7*(1/(1+Faktory!$D$5)^H7)</f>
        <v>236291.34002807466</v>
      </c>
      <c r="K7" s="57">
        <f t="shared" si="2"/>
        <v>-2201556.6775456215</v>
      </c>
      <c r="L7" s="31" t="str">
        <f t="shared" si="3"/>
        <v>&lt;</v>
      </c>
    </row>
    <row r="8" spans="1:12" ht="16">
      <c r="A8" s="33" t="s">
        <v>29</v>
      </c>
      <c r="B8" s="27">
        <f>'Prínosy - Agendové IS'!Q8-'Výdavky - Agendové IS'!T8</f>
        <v>0</v>
      </c>
      <c r="C8" s="26">
        <f>'Prínosy - Agendové IS'!R8-'Výdavky - Agendové IS'!U8</f>
        <v>-157755.88500000001</v>
      </c>
      <c r="D8" s="29">
        <f t="shared" si="1"/>
        <v>-157755.88500000001</v>
      </c>
      <c r="E8" s="27">
        <f>'Prínosy - Agendové IS'!T8-('Výdavky - Agendové IS'!T8/1.2)</f>
        <v>0</v>
      </c>
      <c r="F8" s="27">
        <f>'Prínosy - Agendové IS'!U8-('Výdavky - Agendové IS'!U8/1.2)</f>
        <v>476036.76249999995</v>
      </c>
      <c r="G8" s="29">
        <f t="shared" si="0"/>
        <v>476036.76249999995</v>
      </c>
      <c r="H8" s="56">
        <v>4</v>
      </c>
      <c r="I8" s="52">
        <f>D8*(1/(1+Faktory!$D$3)^H8)</f>
        <v>-134850.39165760344</v>
      </c>
      <c r="J8" s="59">
        <f>G8*(1/(1+Faktory!$D$5)^H8)</f>
        <v>391636.62260066532</v>
      </c>
      <c r="K8" s="57">
        <f t="shared" si="2"/>
        <v>-1809920.0549449562</v>
      </c>
      <c r="L8" s="31" t="str">
        <f t="shared" si="3"/>
        <v>&lt;</v>
      </c>
    </row>
    <row r="9" spans="1:12" ht="16">
      <c r="A9" s="33" t="s">
        <v>30</v>
      </c>
      <c r="B9" s="27">
        <f>'Prínosy - Agendové IS'!Q9-'Výdavky - Agendové IS'!T9</f>
        <v>0</v>
      </c>
      <c r="C9" s="26">
        <f>'Prínosy - Agendové IS'!R9-'Výdavky - Agendové IS'!U9</f>
        <v>-157755.88500000001</v>
      </c>
      <c r="D9" s="29">
        <f t="shared" si="1"/>
        <v>-157755.88500000001</v>
      </c>
      <c r="E9" s="27">
        <f>'Prínosy - Agendové IS'!T9-('Výdavky - Agendové IS'!T9/1.2)</f>
        <v>0</v>
      </c>
      <c r="F9" s="27">
        <f>'Prínosy - Agendové IS'!U9-('Výdavky - Agendové IS'!U9/1.2)</f>
        <v>678536.76249999995</v>
      </c>
      <c r="G9" s="29">
        <f t="shared" si="0"/>
        <v>678536.76249999995</v>
      </c>
      <c r="H9" s="56">
        <v>5</v>
      </c>
      <c r="I9" s="52">
        <f>D9*(1/(1+Faktory!$D$3)^H9)</f>
        <v>-129663.83813231099</v>
      </c>
      <c r="J9" s="59">
        <f>G9*(1/(1+Faktory!$D$5)^H9)</f>
        <v>531651.30832954415</v>
      </c>
      <c r="K9" s="57">
        <f t="shared" si="2"/>
        <v>-1278268.7466154122</v>
      </c>
      <c r="L9" s="31" t="str">
        <f t="shared" si="3"/>
        <v>&lt;</v>
      </c>
    </row>
    <row r="10" spans="1:12" ht="16">
      <c r="A10" s="33" t="s">
        <v>31</v>
      </c>
      <c r="B10" s="27">
        <f>'Prínosy - Agendové IS'!Q10-'Výdavky - Agendové IS'!T10</f>
        <v>0</v>
      </c>
      <c r="C10" s="26">
        <f>'Prínosy - Agendové IS'!R10-'Výdavky - Agendové IS'!U10</f>
        <v>-157755.88500000001</v>
      </c>
      <c r="D10" s="29">
        <f t="shared" si="1"/>
        <v>-157755.88500000001</v>
      </c>
      <c r="E10" s="27">
        <f>'Prínosy - Agendové IS'!T10-('Výdavky - Agendové IS'!T10/1.2)</f>
        <v>0</v>
      </c>
      <c r="F10" s="27">
        <f>'Prínosy - Agendové IS'!U10-('Výdavky - Agendové IS'!U10/1.2)</f>
        <v>678536.76249999995</v>
      </c>
      <c r="G10" s="29">
        <f t="shared" si="0"/>
        <v>678536.76249999995</v>
      </c>
      <c r="H10" s="56">
        <v>6</v>
      </c>
      <c r="I10" s="52">
        <f>D10*(1/(1+Faktory!$D$3)^H10)</f>
        <v>-124676.76743491442</v>
      </c>
      <c r="J10" s="59">
        <f>G10*(1/(1+Faktory!$D$5)^H10)</f>
        <v>506334.57936147065</v>
      </c>
      <c r="K10" s="57">
        <f t="shared" si="2"/>
        <v>-771934.16725394153</v>
      </c>
      <c r="L10" s="31" t="str">
        <f t="shared" si="3"/>
        <v>&lt;</v>
      </c>
    </row>
    <row r="11" spans="1:12" ht="16">
      <c r="A11" s="33" t="s">
        <v>32</v>
      </c>
      <c r="B11" s="27">
        <f>'Prínosy - Agendové IS'!Q11-'Výdavky - Agendové IS'!T11</f>
        <v>0</v>
      </c>
      <c r="C11" s="26">
        <f>'Prínosy - Agendové IS'!R11-'Výdavky - Agendové IS'!U11</f>
        <v>-157755.88500000001</v>
      </c>
      <c r="D11" s="29">
        <f t="shared" si="1"/>
        <v>-157755.88500000001</v>
      </c>
      <c r="E11" s="27">
        <f>'Prínosy - Agendové IS'!T11-('Výdavky - Agendové IS'!T11/1.2)</f>
        <v>0</v>
      </c>
      <c r="F11" s="27">
        <f>'Prínosy - Agendové IS'!U11-('Výdavky - Agendové IS'!U11/1.2)</f>
        <v>881036.76249999995</v>
      </c>
      <c r="G11" s="29">
        <f t="shared" si="0"/>
        <v>881036.76249999995</v>
      </c>
      <c r="H11" s="56">
        <v>7</v>
      </c>
      <c r="I11" s="52">
        <f>D11*(1/(1+Faktory!$D$3)^H11)</f>
        <v>-119881.50714895618</v>
      </c>
      <c r="J11" s="59">
        <f>G11*(1/(1+Faktory!$D$5)^H11)</f>
        <v>626136.37826703594</v>
      </c>
      <c r="K11" s="57">
        <f t="shared" si="2"/>
        <v>-145797.78898690559</v>
      </c>
      <c r="L11" s="31" t="str">
        <f t="shared" si="3"/>
        <v>&lt;</v>
      </c>
    </row>
    <row r="12" spans="1:12" ht="16">
      <c r="A12" s="33" t="s">
        <v>33</v>
      </c>
      <c r="B12" s="27">
        <f>'Prínosy - Agendové IS'!Q12-'Výdavky - Agendové IS'!T12</f>
        <v>0</v>
      </c>
      <c r="C12" s="26">
        <f>'Prínosy - Agendové IS'!R12-'Výdavky - Agendové IS'!U12</f>
        <v>-157755.88500000001</v>
      </c>
      <c r="D12" s="29">
        <f t="shared" si="1"/>
        <v>-157755.88500000001</v>
      </c>
      <c r="E12" s="27">
        <f>'Prínosy - Agendové IS'!T12-('Výdavky - Agendové IS'!T12/1.2)</f>
        <v>0</v>
      </c>
      <c r="F12" s="27">
        <f>'Prínosy - Agendové IS'!U12-('Výdavky - Agendové IS'!U12/1.2)</f>
        <v>881036.76249999995</v>
      </c>
      <c r="G12" s="29">
        <f t="shared" si="0"/>
        <v>881036.76249999995</v>
      </c>
      <c r="H12" s="56">
        <v>8</v>
      </c>
      <c r="I12" s="52">
        <f>D12*(1/(1+Faktory!$D$3)^H12)</f>
        <v>-115270.67995091938</v>
      </c>
      <c r="J12" s="59">
        <f>G12*(1/(1+Faktory!$D$5)^H12)</f>
        <v>596320.36025431997</v>
      </c>
      <c r="K12" s="57">
        <f t="shared" si="2"/>
        <v>450522.57126741437</v>
      </c>
      <c r="L12" s="31" t="str">
        <f t="shared" si="3"/>
        <v>Rok návratu investície</v>
      </c>
    </row>
    <row r="13" spans="1:12" ht="17" thickBot="1">
      <c r="A13" s="33" t="s">
        <v>34</v>
      </c>
      <c r="B13" s="47">
        <f>'Prínosy - Agendové IS'!Q13-'Výdavky - Agendové IS'!T13</f>
        <v>0</v>
      </c>
      <c r="C13" s="43">
        <f>'Prínosy - Agendové IS'!R13-'Výdavky - Agendové IS'!U13</f>
        <v>-157755.88500000001</v>
      </c>
      <c r="D13" s="35">
        <f t="shared" si="1"/>
        <v>-157755.88500000001</v>
      </c>
      <c r="E13" s="27">
        <f>'Prínosy - Agendové IS'!T13-('Výdavky - Agendové IS'!T13/1.2)</f>
        <v>0</v>
      </c>
      <c r="F13" s="27">
        <f>'Prínosy - Agendové IS'!U13-('Výdavky - Agendové IS'!U13/1.2)</f>
        <v>881036.76249999995</v>
      </c>
      <c r="G13" s="35">
        <f t="shared" si="0"/>
        <v>881036.76249999995</v>
      </c>
      <c r="H13" s="56">
        <v>9</v>
      </c>
      <c r="I13" s="53">
        <f>D13*(1/(1+Faktory!$D$3)^H13)</f>
        <v>-110837.19226049939</v>
      </c>
      <c r="J13" s="60">
        <f>G13*(1/(1+Faktory!$D$5)^H13)</f>
        <v>567924.15262316179</v>
      </c>
      <c r="K13" s="57">
        <f t="shared" si="2"/>
        <v>1018446.7238905762</v>
      </c>
      <c r="L13" s="31" t="str">
        <f t="shared" si="3"/>
        <v>&gt;</v>
      </c>
    </row>
    <row r="14" spans="1:12" ht="16" thickBot="1">
      <c r="A14" s="62" t="s">
        <v>35</v>
      </c>
      <c r="B14" s="44">
        <f t="shared" ref="B14:G14" si="4">SUM(B4:B13)</f>
        <v>0</v>
      </c>
      <c r="C14" s="45">
        <f t="shared" si="4"/>
        <v>-4233466.0949999988</v>
      </c>
      <c r="D14" s="45">
        <f t="shared" si="4"/>
        <v>-4233466.0949999988</v>
      </c>
      <c r="E14" s="45">
        <f t="shared" si="4"/>
        <v>0</v>
      </c>
      <c r="F14" s="45">
        <f t="shared" si="4"/>
        <v>2277111.5874999999</v>
      </c>
      <c r="G14" s="46">
        <f t="shared" si="4"/>
        <v>2277111.5874999999</v>
      </c>
      <c r="H14" s="63" t="s">
        <v>35</v>
      </c>
      <c r="I14" s="184">
        <f>SUM(I4:I13)</f>
        <v>-3958548.9516605912</v>
      </c>
      <c r="J14" s="185">
        <f>SUM(J4:J13)</f>
        <v>1018446.7238905762</v>
      </c>
      <c r="K14" s="7"/>
      <c r="L14" s="7"/>
    </row>
    <row r="16" spans="1:12" ht="16" thickBot="1">
      <c r="H16" s="106" t="s">
        <v>182</v>
      </c>
      <c r="J16" s="195" t="s">
        <v>171</v>
      </c>
      <c r="K16" s="195" t="s">
        <v>180</v>
      </c>
    </row>
    <row r="17" spans="5:11" s="137" customFormat="1" ht="16" thickBot="1">
      <c r="H17" s="189" t="s">
        <v>122</v>
      </c>
      <c r="I17" s="191" t="s">
        <v>177</v>
      </c>
      <c r="J17" s="192">
        <f>'Prínosy - Agendové IS'!V15/('Výdavky - Agendové IS'!V15/1.2)</f>
        <v>1.3133421785879917</v>
      </c>
      <c r="K17" s="196">
        <v>1</v>
      </c>
    </row>
    <row r="18" spans="5:11" s="137" customFormat="1" ht="14" thickBot="1">
      <c r="H18" s="190" t="s">
        <v>174</v>
      </c>
      <c r="I18" s="191" t="s">
        <v>178</v>
      </c>
      <c r="J18" s="193" t="e">
        <f>IRR($D$4:$D$13,0.01)</f>
        <v>#NUM!</v>
      </c>
      <c r="K18" s="197" t="s">
        <v>181</v>
      </c>
    </row>
    <row r="19" spans="5:11" s="137" customFormat="1" ht="25" thickBot="1">
      <c r="E19" s="186"/>
      <c r="H19" s="190" t="s">
        <v>175</v>
      </c>
      <c r="I19" s="191" t="s">
        <v>179</v>
      </c>
      <c r="J19" s="193">
        <f>IRR($G$4:$G$13,0.01)</f>
        <v>0.11220466518573646</v>
      </c>
      <c r="K19" s="197">
        <v>0.05</v>
      </c>
    </row>
    <row r="20" spans="5:11" ht="16" thickBot="1">
      <c r="H20" s="187"/>
      <c r="I20" s="188"/>
      <c r="J20" s="187"/>
      <c r="K20" s="198"/>
    </row>
    <row r="21" spans="5:11" s="137" customFormat="1" ht="25" thickBot="1">
      <c r="H21" s="190" t="s">
        <v>176</v>
      </c>
      <c r="I21" s="191" t="s">
        <v>361</v>
      </c>
      <c r="J21" s="194">
        <f>I14</f>
        <v>-3958548.9516605912</v>
      </c>
      <c r="K21" s="199" t="s">
        <v>181</v>
      </c>
    </row>
    <row r="22" spans="5:11" s="137" customFormat="1" ht="25" thickBot="1">
      <c r="H22" s="190" t="s">
        <v>73</v>
      </c>
      <c r="I22" s="191" t="s">
        <v>360</v>
      </c>
      <c r="J22" s="194">
        <f>J14</f>
        <v>1018446.7238905762</v>
      </c>
      <c r="K22" s="199">
        <v>0</v>
      </c>
    </row>
  </sheetData>
  <mergeCells count="6">
    <mergeCell ref="K3:L3"/>
    <mergeCell ref="B1:G1"/>
    <mergeCell ref="H1:L1"/>
    <mergeCell ref="B2:D2"/>
    <mergeCell ref="E2:G2"/>
    <mergeCell ref="K2:L2"/>
  </mergeCells>
  <conditionalFormatting sqref="L4:L13">
    <cfRule type="cellIs" dxfId="0" priority="1" stopIfTrue="1" operator="equal">
      <formula>"Rok návratu investície"</formula>
    </cfRule>
  </conditionalFormatting>
  <pageMargins left="0.7" right="0.7" top="0.75" bottom="0.75" header="0.3" footer="0.3"/>
  <pageSetup paperSize="9" scale="4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3"/>
  <sheetViews>
    <sheetView view="pageBreakPreview" zoomScale="60" zoomScaleNormal="80" workbookViewId="0"/>
  </sheetViews>
  <sheetFormatPr baseColWidth="10" defaultColWidth="8.83203125" defaultRowHeight="15"/>
  <cols>
    <col min="1" max="1" width="7.83203125" style="61" customWidth="1"/>
    <col min="2" max="2" width="12.6640625" style="61" customWidth="1"/>
    <col min="3" max="3" width="14" style="61" customWidth="1"/>
    <col min="4" max="4" width="9.5" style="61" customWidth="1"/>
    <col min="5" max="5" width="11.83203125" style="61" customWidth="1"/>
    <col min="6" max="6" width="11.6640625" style="61" customWidth="1"/>
    <col min="7" max="7" width="9.6640625" customWidth="1"/>
    <col min="8" max="8" width="11.5" customWidth="1"/>
    <col min="9" max="9" width="10.83203125" customWidth="1"/>
    <col min="10" max="10" width="9.5" customWidth="1"/>
    <col min="11" max="11" width="12.6640625" customWidth="1"/>
    <col min="12" max="12" width="11.5" customWidth="1"/>
    <col min="13" max="13" width="10.5" customWidth="1"/>
    <col min="14" max="14" width="13.33203125" customWidth="1"/>
    <col min="15" max="15" width="11.33203125" customWidth="1"/>
    <col min="16" max="16" width="9.6640625" customWidth="1"/>
    <col min="17" max="17" width="14.6640625" customWidth="1"/>
    <col min="18" max="18" width="15.6640625" customWidth="1"/>
  </cols>
  <sheetData>
    <row r="2" spans="1:18" ht="16">
      <c r="A2" s="227" t="s">
        <v>122</v>
      </c>
      <c r="B2" s="228">
        <f>'CBA - Agendové IS'!J17</f>
        <v>1.3133421785879917</v>
      </c>
    </row>
    <row r="4" spans="1:18">
      <c r="A4" s="218"/>
    </row>
    <row r="5" spans="1:18" ht="30" customHeight="1">
      <c r="A5" s="218"/>
      <c r="B5" s="677" t="s">
        <v>199</v>
      </c>
      <c r="C5" s="678"/>
      <c r="D5" s="236"/>
      <c r="E5" s="677" t="s">
        <v>200</v>
      </c>
      <c r="F5" s="678"/>
      <c r="H5" s="675" t="s">
        <v>195</v>
      </c>
      <c r="I5" s="676"/>
      <c r="J5" s="61"/>
      <c r="K5" s="677" t="s">
        <v>198</v>
      </c>
      <c r="L5" s="678"/>
      <c r="N5" s="675" t="s">
        <v>196</v>
      </c>
      <c r="O5" s="676"/>
      <c r="Q5" s="675" t="s">
        <v>197</v>
      </c>
      <c r="R5" s="676"/>
    </row>
    <row r="6" spans="1:18" ht="16">
      <c r="A6" s="218"/>
      <c r="B6" s="231" t="s">
        <v>12</v>
      </c>
      <c r="C6" s="230" t="s">
        <v>122</v>
      </c>
      <c r="D6" s="237"/>
      <c r="E6" s="231" t="s">
        <v>12</v>
      </c>
      <c r="F6" s="230" t="s">
        <v>122</v>
      </c>
      <c r="H6" s="231" t="s">
        <v>12</v>
      </c>
      <c r="I6" s="230" t="s">
        <v>122</v>
      </c>
      <c r="J6" s="61"/>
      <c r="K6" s="231" t="s">
        <v>12</v>
      </c>
      <c r="L6" s="230" t="s">
        <v>122</v>
      </c>
      <c r="N6" s="232" t="s">
        <v>12</v>
      </c>
      <c r="O6" s="233" t="s">
        <v>122</v>
      </c>
      <c r="Q6" s="232" t="s">
        <v>12</v>
      </c>
      <c r="R6" s="233" t="s">
        <v>122</v>
      </c>
    </row>
    <row r="7" spans="1:18" ht="15" customHeight="1">
      <c r="A7" s="218"/>
      <c r="B7" s="223">
        <v>0</v>
      </c>
      <c r="C7" s="214">
        <f>B2</f>
        <v>1.3133421785879917</v>
      </c>
      <c r="D7" s="234"/>
      <c r="E7" s="223">
        <v>0</v>
      </c>
      <c r="F7" s="214">
        <f>B2</f>
        <v>1.3133421785879917</v>
      </c>
      <c r="H7" s="223">
        <v>0</v>
      </c>
      <c r="I7" s="214">
        <f>B2</f>
        <v>1.3133421785879917</v>
      </c>
      <c r="J7" s="61"/>
      <c r="K7" s="223">
        <v>0</v>
      </c>
      <c r="L7" s="214">
        <f>B2</f>
        <v>1.3133421785879917</v>
      </c>
      <c r="N7" s="225">
        <v>0</v>
      </c>
      <c r="O7" s="216">
        <f>B2</f>
        <v>1.3133421785879917</v>
      </c>
      <c r="Q7" s="225">
        <v>0</v>
      </c>
      <c r="R7" s="216">
        <f>B2</f>
        <v>1.3133421785879917</v>
      </c>
    </row>
    <row r="8" spans="1:18">
      <c r="A8" s="218"/>
      <c r="B8" s="223">
        <v>0.1</v>
      </c>
      <c r="C8" s="219">
        <f t="dataTable" ref="C8:C17" dt2D="0" dtr="0" r1="B7" ca="1"/>
        <v>1.1939474350799923</v>
      </c>
      <c r="D8" s="235"/>
      <c r="E8" s="223">
        <v>0.1</v>
      </c>
      <c r="F8" s="219">
        <f t="dataTable" ref="F8:F17" dt2D="0" dtr="0" r1="E7" ca="1"/>
        <v>1.2222536398886912</v>
      </c>
      <c r="H8" s="223">
        <v>-0.1</v>
      </c>
      <c r="I8" s="219">
        <f t="dataTable" ref="I8:I17" dt2D="0" dtr="0" r1="H7" ca="1"/>
        <v>1.1820079607291931</v>
      </c>
      <c r="J8" s="61"/>
      <c r="K8" s="223">
        <v>-0.1</v>
      </c>
      <c r="L8" s="219">
        <f t="dataTable" ref="L8:L17" dt2D="0" dtr="0" r1="K7" ca="1"/>
        <v>1.3133421785879917</v>
      </c>
      <c r="N8" s="225">
        <v>-0.1</v>
      </c>
      <c r="O8" s="221">
        <f t="dataTable" ref="O8:O17" dt2D="0" dtr="0" r1="N7" ca="1"/>
        <v>1.3133421785879917</v>
      </c>
      <c r="Q8" s="225">
        <v>-0.1</v>
      </c>
      <c r="R8" s="221">
        <f t="dataTable" ref="R8:R17" dt2D="0" dtr="0" r1="Q7" ca="1"/>
        <v>1.3133421785879917</v>
      </c>
    </row>
    <row r="9" spans="1:18">
      <c r="A9" s="217"/>
      <c r="B9" s="223">
        <v>0.2</v>
      </c>
      <c r="C9" s="219">
        <v>1.0944518154899932</v>
      </c>
      <c r="D9" s="235"/>
      <c r="E9" s="223">
        <v>0.2</v>
      </c>
      <c r="F9" s="219">
        <v>1.1429807383443513</v>
      </c>
      <c r="H9" s="223">
        <v>-0.2</v>
      </c>
      <c r="I9" s="219">
        <v>1.0506737428703936</v>
      </c>
      <c r="J9" s="61"/>
      <c r="K9" s="223">
        <v>-0.2</v>
      </c>
      <c r="L9" s="219">
        <v>1.3133421785879917</v>
      </c>
      <c r="N9" s="225">
        <v>-0.2</v>
      </c>
      <c r="O9" s="221">
        <v>1.3133421785879917</v>
      </c>
      <c r="Q9" s="225">
        <v>-0.2</v>
      </c>
      <c r="R9" s="221">
        <v>1.3133421785879917</v>
      </c>
    </row>
    <row r="10" spans="1:18">
      <c r="A10" s="217"/>
      <c r="B10" s="223">
        <v>0.3</v>
      </c>
      <c r="C10" s="219">
        <v>1.0102632142984553</v>
      </c>
      <c r="D10" s="235"/>
      <c r="E10" s="223">
        <v>0.3</v>
      </c>
      <c r="F10" s="219">
        <v>1.073364486463628</v>
      </c>
      <c r="H10" s="223">
        <v>-0.3</v>
      </c>
      <c r="I10" s="219">
        <v>0.91933952501159444</v>
      </c>
      <c r="J10" s="61"/>
      <c r="K10" s="223">
        <v>-0.3</v>
      </c>
      <c r="L10" s="219">
        <v>1.3133421785879917</v>
      </c>
      <c r="N10" s="225">
        <v>-0.3</v>
      </c>
      <c r="O10" s="221">
        <v>1.3133421785879917</v>
      </c>
      <c r="Q10" s="225">
        <v>-0.3</v>
      </c>
      <c r="R10" s="221">
        <v>1.3133421785879917</v>
      </c>
    </row>
    <row r="11" spans="1:18">
      <c r="A11" s="217"/>
      <c r="B11" s="223">
        <v>0.4</v>
      </c>
      <c r="C11" s="219">
        <v>0.9381015561342797</v>
      </c>
      <c r="D11" s="235"/>
      <c r="E11" s="223">
        <v>0.4</v>
      </c>
      <c r="F11" s="219">
        <v>1.0117416941824058</v>
      </c>
      <c r="H11" s="223">
        <v>-0.4</v>
      </c>
      <c r="I11" s="219">
        <v>0.78800530715279526</v>
      </c>
      <c r="J11" s="61"/>
      <c r="K11" s="223">
        <v>-0.4</v>
      </c>
      <c r="L11" s="219">
        <v>1.3133421785879917</v>
      </c>
      <c r="N11" s="225">
        <v>-0.4</v>
      </c>
      <c r="O11" s="221">
        <v>1.3133421785879917</v>
      </c>
      <c r="Q11" s="225">
        <v>-0.4</v>
      </c>
      <c r="R11" s="221">
        <v>1.3133421785879917</v>
      </c>
    </row>
    <row r="12" spans="1:18">
      <c r="A12" s="217"/>
      <c r="B12" s="223">
        <v>0.5</v>
      </c>
      <c r="C12" s="219">
        <v>0.87556145239199457</v>
      </c>
      <c r="D12" s="235"/>
      <c r="E12" s="223">
        <v>0.5</v>
      </c>
      <c r="F12" s="219">
        <v>0.95681037518841539</v>
      </c>
      <c r="H12" s="223">
        <v>-0.5</v>
      </c>
      <c r="I12" s="219">
        <v>0.65667108929399587</v>
      </c>
      <c r="J12" s="61"/>
      <c r="K12" s="223">
        <v>-0.5</v>
      </c>
      <c r="L12" s="219">
        <v>1.3133421785879917</v>
      </c>
      <c r="N12" s="225">
        <v>-0.5</v>
      </c>
      <c r="O12" s="221">
        <v>1.3133421785879917</v>
      </c>
      <c r="Q12" s="225">
        <v>-0.5</v>
      </c>
      <c r="R12" s="221">
        <v>1.3133421785879917</v>
      </c>
    </row>
    <row r="13" spans="1:18">
      <c r="A13" s="217"/>
      <c r="B13" s="223">
        <v>0.6</v>
      </c>
      <c r="C13" s="219">
        <v>0.82083886161749475</v>
      </c>
      <c r="D13" s="235"/>
      <c r="E13" s="223">
        <v>0.6</v>
      </c>
      <c r="F13" s="219">
        <v>0.90753674091906977</v>
      </c>
      <c r="H13" s="223">
        <v>-0.6</v>
      </c>
      <c r="I13" s="219">
        <v>0.52533687143519681</v>
      </c>
      <c r="J13" s="61"/>
      <c r="K13" s="223">
        <v>-0.6</v>
      </c>
      <c r="L13" s="219">
        <v>1.3133421785879917</v>
      </c>
      <c r="N13" s="225">
        <v>-0.6</v>
      </c>
      <c r="O13" s="221">
        <v>1.3133421785879917</v>
      </c>
      <c r="Q13" s="225">
        <v>-0.6</v>
      </c>
      <c r="R13" s="221">
        <v>1.3133421785879917</v>
      </c>
    </row>
    <row r="14" spans="1:18">
      <c r="A14" s="213"/>
      <c r="B14" s="223">
        <v>0.7</v>
      </c>
      <c r="C14" s="219">
        <v>0.77255422269881857</v>
      </c>
      <c r="D14" s="235"/>
      <c r="E14" s="223">
        <v>0.7</v>
      </c>
      <c r="F14" s="219">
        <v>0.86308952474460643</v>
      </c>
      <c r="H14" s="223">
        <v>-0.7</v>
      </c>
      <c r="I14" s="219">
        <v>0.39400265357639769</v>
      </c>
      <c r="J14" s="61"/>
      <c r="K14" s="223">
        <v>-0.7</v>
      </c>
      <c r="L14" s="219">
        <v>1.3133421785879917</v>
      </c>
      <c r="N14" s="225">
        <v>-0.7</v>
      </c>
      <c r="O14" s="221">
        <v>1.3133421785879917</v>
      </c>
      <c r="Q14" s="225">
        <v>-0.7</v>
      </c>
      <c r="R14" s="221">
        <v>1.3133421785879917</v>
      </c>
    </row>
    <row r="15" spans="1:18">
      <c r="A15" s="213"/>
      <c r="B15" s="223">
        <v>0.8</v>
      </c>
      <c r="C15" s="219">
        <v>0.72963454365999536</v>
      </c>
      <c r="D15" s="235"/>
      <c r="E15" s="223">
        <v>0.8</v>
      </c>
      <c r="F15" s="219">
        <v>0.82279270419590755</v>
      </c>
      <c r="H15" s="223">
        <v>-0.8</v>
      </c>
      <c r="I15" s="219">
        <v>0.26266843571759835</v>
      </c>
      <c r="J15" s="61"/>
      <c r="K15" s="223">
        <v>-0.8</v>
      </c>
      <c r="L15" s="219">
        <v>1.3133421785879917</v>
      </c>
      <c r="N15" s="225">
        <v>-0.8</v>
      </c>
      <c r="O15" s="221">
        <v>1.3133421785879917</v>
      </c>
      <c r="Q15" s="225">
        <v>-0.8</v>
      </c>
      <c r="R15" s="221">
        <v>1.3133421785879917</v>
      </c>
    </row>
    <row r="16" spans="1:18">
      <c r="A16" s="213"/>
      <c r="B16" s="223">
        <v>0.9</v>
      </c>
      <c r="C16" s="219">
        <v>0.69123272557262727</v>
      </c>
      <c r="D16" s="235"/>
      <c r="E16" s="223">
        <v>0.9</v>
      </c>
      <c r="F16" s="219">
        <v>0.78609087654209642</v>
      </c>
      <c r="H16" s="223">
        <v>-0.9</v>
      </c>
      <c r="I16" s="219">
        <v>0.13133421785879917</v>
      </c>
      <c r="J16" s="61"/>
      <c r="K16" s="223">
        <v>-0.9</v>
      </c>
      <c r="L16" s="219">
        <v>1.3133421785879917</v>
      </c>
      <c r="N16" s="225">
        <v>-0.9</v>
      </c>
      <c r="O16" s="221">
        <v>1.3133421785879917</v>
      </c>
      <c r="Q16" s="225">
        <v>-0.9</v>
      </c>
      <c r="R16" s="221">
        <v>1.3133421785879917</v>
      </c>
    </row>
    <row r="17" spans="1:18">
      <c r="A17" s="213"/>
      <c r="B17" s="224">
        <v>1</v>
      </c>
      <c r="C17" s="220">
        <v>0.65667108929399587</v>
      </c>
      <c r="D17" s="235"/>
      <c r="E17" s="224">
        <v>1</v>
      </c>
      <c r="F17" s="220">
        <v>0.75252350548623748</v>
      </c>
      <c r="H17" s="224">
        <v>-1</v>
      </c>
      <c r="I17" s="220">
        <v>0</v>
      </c>
      <c r="J17" s="61"/>
      <c r="K17" s="224">
        <v>-1</v>
      </c>
      <c r="L17" s="220">
        <v>1.3133421785879917</v>
      </c>
      <c r="N17" s="226">
        <v>-1</v>
      </c>
      <c r="O17" s="222">
        <v>1.3133421785879917</v>
      </c>
      <c r="Q17" s="226">
        <v>-1</v>
      </c>
      <c r="R17" s="222">
        <v>1.3133421785879917</v>
      </c>
    </row>
    <row r="18" spans="1:18">
      <c r="A18" s="217"/>
      <c r="B18" s="218"/>
      <c r="C18" s="218"/>
      <c r="D18" s="218"/>
      <c r="E18" s="218"/>
      <c r="F18" s="218"/>
      <c r="N18" s="229"/>
    </row>
    <row r="19" spans="1:18">
      <c r="A19" s="217"/>
      <c r="B19" s="218"/>
      <c r="C19" s="218"/>
      <c r="D19" s="218"/>
      <c r="E19" s="218"/>
      <c r="F19" s="218"/>
    </row>
    <row r="20" spans="1:18">
      <c r="A20" s="218"/>
      <c r="B20" s="218"/>
      <c r="C20" s="218"/>
      <c r="D20" s="218"/>
      <c r="E20" s="218"/>
      <c r="F20" s="218"/>
    </row>
    <row r="25" spans="1:18" ht="18.75" customHeight="1">
      <c r="B25" s="218"/>
      <c r="C25" s="218"/>
      <c r="D25" s="669" t="s">
        <v>197</v>
      </c>
      <c r="E25" s="670"/>
      <c r="F25" s="670"/>
      <c r="G25" s="670"/>
      <c r="H25" s="670"/>
      <c r="I25" s="670"/>
      <c r="J25" s="670"/>
      <c r="K25" s="670"/>
      <c r="L25" s="670"/>
      <c r="M25" s="670"/>
      <c r="N25" s="671"/>
    </row>
    <row r="26" spans="1:18">
      <c r="B26" s="218"/>
      <c r="C26" s="238">
        <f>B2</f>
        <v>1.3133421785879917</v>
      </c>
      <c r="D26" s="244">
        <v>0</v>
      </c>
      <c r="E26" s="241">
        <v>-0.1</v>
      </c>
      <c r="F26" s="241">
        <v>-0.2</v>
      </c>
      <c r="G26" s="241">
        <v>-0.3</v>
      </c>
      <c r="H26" s="241">
        <v>-0.4</v>
      </c>
      <c r="I26" s="241">
        <v>-0.5</v>
      </c>
      <c r="J26" s="241">
        <v>-0.6</v>
      </c>
      <c r="K26" s="241">
        <v>-0.7</v>
      </c>
      <c r="L26" s="241">
        <v>-0.8</v>
      </c>
      <c r="M26" s="241">
        <v>-0.9</v>
      </c>
      <c r="N26" s="245">
        <v>-1</v>
      </c>
    </row>
    <row r="27" spans="1:18" ht="14.25" customHeight="1">
      <c r="B27" s="672" t="s">
        <v>196</v>
      </c>
      <c r="C27" s="246">
        <v>0</v>
      </c>
      <c r="D27" s="235">
        <f t="dataTable" ref="D27:N37" dt2D="1" dtr="1" r1="Q7" r2="N7" ca="1"/>
        <v>1.3133421785879917</v>
      </c>
      <c r="E27" s="235">
        <v>1.3133421785879917</v>
      </c>
      <c r="F27" s="235">
        <v>1.3133421785879917</v>
      </c>
      <c r="G27" s="240">
        <v>1.3133421785879917</v>
      </c>
      <c r="H27" s="240">
        <v>1.3133421785879917</v>
      </c>
      <c r="I27" s="240">
        <v>1.3133421785879917</v>
      </c>
      <c r="J27" s="240">
        <v>1.3133421785879917</v>
      </c>
      <c r="K27" s="240">
        <v>1.3133421785879917</v>
      </c>
      <c r="L27" s="240">
        <v>1.3133421785879917</v>
      </c>
      <c r="M27" s="240">
        <v>1.3133421785879917</v>
      </c>
      <c r="N27" s="221">
        <v>1.3133421785879917</v>
      </c>
    </row>
    <row r="28" spans="1:18">
      <c r="B28" s="673"/>
      <c r="C28" s="239">
        <v>-0.1</v>
      </c>
      <c r="D28" s="235">
        <v>1.3133421785879917</v>
      </c>
      <c r="E28" s="235">
        <v>1.3133421785879917</v>
      </c>
      <c r="F28" s="235">
        <v>1.3133421785879917</v>
      </c>
      <c r="G28" s="240">
        <v>1.3133421785879917</v>
      </c>
      <c r="H28" s="240">
        <v>1.3133421785879917</v>
      </c>
      <c r="I28" s="240">
        <v>1.3133421785879917</v>
      </c>
      <c r="J28" s="240">
        <v>1.3133421785879917</v>
      </c>
      <c r="K28" s="240">
        <v>1.3133421785879917</v>
      </c>
      <c r="L28" s="240">
        <v>1.3133421785879917</v>
      </c>
      <c r="M28" s="240">
        <v>1.3133421785879917</v>
      </c>
      <c r="N28" s="221">
        <v>1.3133421785879917</v>
      </c>
    </row>
    <row r="29" spans="1:18">
      <c r="B29" s="673"/>
      <c r="C29" s="239">
        <v>-0.2</v>
      </c>
      <c r="D29" s="235">
        <v>1.3133421785879917</v>
      </c>
      <c r="E29" s="235">
        <v>1.3133421785879917</v>
      </c>
      <c r="F29" s="235">
        <v>1.3133421785879917</v>
      </c>
      <c r="G29" s="240">
        <v>1.3133421785879917</v>
      </c>
      <c r="H29" s="240">
        <v>1.3133421785879917</v>
      </c>
      <c r="I29" s="240">
        <v>1.3133421785879917</v>
      </c>
      <c r="J29" s="240">
        <v>1.3133421785879917</v>
      </c>
      <c r="K29" s="240">
        <v>1.3133421785879917</v>
      </c>
      <c r="L29" s="240">
        <v>1.3133421785879917</v>
      </c>
      <c r="M29" s="240">
        <v>1.3133421785879917</v>
      </c>
      <c r="N29" s="221">
        <v>1.3133421785879917</v>
      </c>
    </row>
    <row r="30" spans="1:18">
      <c r="B30" s="673"/>
      <c r="C30" s="239">
        <v>-0.3</v>
      </c>
      <c r="D30" s="235">
        <v>1.3133421785879917</v>
      </c>
      <c r="E30" s="235">
        <v>1.3133421785879917</v>
      </c>
      <c r="F30" s="235">
        <v>1.3133421785879917</v>
      </c>
      <c r="G30" s="240">
        <v>1.3133421785879917</v>
      </c>
      <c r="H30" s="240">
        <v>1.3133421785879917</v>
      </c>
      <c r="I30" s="240">
        <v>1.3133421785879917</v>
      </c>
      <c r="J30" s="240">
        <v>1.3133421785879917</v>
      </c>
      <c r="K30" s="240">
        <v>1.3133421785879917</v>
      </c>
      <c r="L30" s="240">
        <v>1.3133421785879917</v>
      </c>
      <c r="M30" s="240">
        <v>1.3133421785879917</v>
      </c>
      <c r="N30" s="221">
        <v>1.3133421785879917</v>
      </c>
    </row>
    <row r="31" spans="1:18">
      <c r="B31" s="673"/>
      <c r="C31" s="239">
        <v>-0.4</v>
      </c>
      <c r="D31" s="235">
        <v>1.3133421785879917</v>
      </c>
      <c r="E31" s="235">
        <v>1.3133421785879917</v>
      </c>
      <c r="F31" s="235">
        <v>1.3133421785879917</v>
      </c>
      <c r="G31" s="240">
        <v>1.3133421785879917</v>
      </c>
      <c r="H31" s="240">
        <v>1.3133421785879917</v>
      </c>
      <c r="I31" s="240">
        <v>1.3133421785879917</v>
      </c>
      <c r="J31" s="240">
        <v>1.3133421785879917</v>
      </c>
      <c r="K31" s="240">
        <v>1.3133421785879917</v>
      </c>
      <c r="L31" s="240">
        <v>1.3133421785879917</v>
      </c>
      <c r="M31" s="240">
        <v>1.3133421785879917</v>
      </c>
      <c r="N31" s="221">
        <v>1.3133421785879917</v>
      </c>
    </row>
    <row r="32" spans="1:18">
      <c r="B32" s="673"/>
      <c r="C32" s="239">
        <v>-0.5</v>
      </c>
      <c r="D32" s="235">
        <v>1.3133421785879917</v>
      </c>
      <c r="E32" s="235">
        <v>1.3133421785879917</v>
      </c>
      <c r="F32" s="235">
        <v>1.3133421785879917</v>
      </c>
      <c r="G32" s="240">
        <v>1.3133421785879917</v>
      </c>
      <c r="H32" s="240">
        <v>1.3133421785879917</v>
      </c>
      <c r="I32" s="240">
        <v>1.3133421785879917</v>
      </c>
      <c r="J32" s="240">
        <v>1.3133421785879917</v>
      </c>
      <c r="K32" s="240">
        <v>1.3133421785879917</v>
      </c>
      <c r="L32" s="240">
        <v>1.3133421785879917</v>
      </c>
      <c r="M32" s="240">
        <v>1.3133421785879917</v>
      </c>
      <c r="N32" s="221">
        <v>1.3133421785879917</v>
      </c>
    </row>
    <row r="33" spans="2:14">
      <c r="B33" s="673"/>
      <c r="C33" s="239">
        <v>-0.6</v>
      </c>
      <c r="D33" s="235">
        <v>1.3133421785879917</v>
      </c>
      <c r="E33" s="235">
        <v>1.3133421785879917</v>
      </c>
      <c r="F33" s="235">
        <v>1.3133421785879917</v>
      </c>
      <c r="G33" s="240">
        <v>1.3133421785879917</v>
      </c>
      <c r="H33" s="240">
        <v>1.3133421785879917</v>
      </c>
      <c r="I33" s="240">
        <v>1.3133421785879917</v>
      </c>
      <c r="J33" s="240">
        <v>1.3133421785879917</v>
      </c>
      <c r="K33" s="240">
        <v>1.3133421785879917</v>
      </c>
      <c r="L33" s="240">
        <v>1.3133421785879917</v>
      </c>
      <c r="M33" s="240">
        <v>1.3133421785879917</v>
      </c>
      <c r="N33" s="221">
        <v>1.3133421785879917</v>
      </c>
    </row>
    <row r="34" spans="2:14">
      <c r="B34" s="673"/>
      <c r="C34" s="239">
        <v>-0.7</v>
      </c>
      <c r="D34" s="235">
        <v>1.3133421785879917</v>
      </c>
      <c r="E34" s="235">
        <v>1.3133421785879917</v>
      </c>
      <c r="F34" s="235">
        <v>1.3133421785879917</v>
      </c>
      <c r="G34" s="240">
        <v>1.3133421785879917</v>
      </c>
      <c r="H34" s="240">
        <v>1.3133421785879917</v>
      </c>
      <c r="I34" s="240">
        <v>1.3133421785879917</v>
      </c>
      <c r="J34" s="240">
        <v>1.3133421785879917</v>
      </c>
      <c r="K34" s="240">
        <v>1.3133421785879917</v>
      </c>
      <c r="L34" s="240">
        <v>1.3133421785879917</v>
      </c>
      <c r="M34" s="240">
        <v>1.3133421785879917</v>
      </c>
      <c r="N34" s="221">
        <v>1.3133421785879917</v>
      </c>
    </row>
    <row r="35" spans="2:14">
      <c r="B35" s="673"/>
      <c r="C35" s="239">
        <v>-0.8</v>
      </c>
      <c r="D35" s="235">
        <v>1.3133421785879917</v>
      </c>
      <c r="E35" s="235">
        <v>1.3133421785879917</v>
      </c>
      <c r="F35" s="235">
        <v>1.3133421785879917</v>
      </c>
      <c r="G35" s="240">
        <v>1.3133421785879917</v>
      </c>
      <c r="H35" s="240">
        <v>1.3133421785879917</v>
      </c>
      <c r="I35" s="240">
        <v>1.3133421785879917</v>
      </c>
      <c r="J35" s="240">
        <v>1.3133421785879917</v>
      </c>
      <c r="K35" s="240">
        <v>1.3133421785879917</v>
      </c>
      <c r="L35" s="240">
        <v>1.3133421785879917</v>
      </c>
      <c r="M35" s="240">
        <v>1.3133421785879917</v>
      </c>
      <c r="N35" s="221">
        <v>1.3133421785879917</v>
      </c>
    </row>
    <row r="36" spans="2:14">
      <c r="B36" s="673"/>
      <c r="C36" s="239">
        <v>-0.9</v>
      </c>
      <c r="D36" s="235">
        <v>1.3133421785879917</v>
      </c>
      <c r="E36" s="235">
        <v>1.3133421785879917</v>
      </c>
      <c r="F36" s="235">
        <v>1.3133421785879917</v>
      </c>
      <c r="G36" s="240">
        <v>1.3133421785879917</v>
      </c>
      <c r="H36" s="240">
        <v>1.3133421785879917</v>
      </c>
      <c r="I36" s="240">
        <v>1.3133421785879917</v>
      </c>
      <c r="J36" s="240">
        <v>1.3133421785879917</v>
      </c>
      <c r="K36" s="240">
        <v>1.3133421785879917</v>
      </c>
      <c r="L36" s="240">
        <v>1.3133421785879917</v>
      </c>
      <c r="M36" s="240">
        <v>1.3133421785879917</v>
      </c>
      <c r="N36" s="221">
        <v>1.3133421785879917</v>
      </c>
    </row>
    <row r="37" spans="2:14">
      <c r="B37" s="674"/>
      <c r="C37" s="245">
        <v>-1</v>
      </c>
      <c r="D37" s="242">
        <v>1.3133421785879917</v>
      </c>
      <c r="E37" s="242">
        <v>1.3133421785879917</v>
      </c>
      <c r="F37" s="242">
        <v>1.3133421785879917</v>
      </c>
      <c r="G37" s="243">
        <v>1.3133421785879917</v>
      </c>
      <c r="H37" s="243">
        <v>1.3133421785879917</v>
      </c>
      <c r="I37" s="243">
        <v>1.3133421785879917</v>
      </c>
      <c r="J37" s="243">
        <v>1.3133421785879917</v>
      </c>
      <c r="K37" s="243">
        <v>1.3133421785879917</v>
      </c>
      <c r="L37" s="243">
        <v>1.3133421785879917</v>
      </c>
      <c r="M37" s="243">
        <v>1.3133421785879917</v>
      </c>
      <c r="N37" s="222">
        <v>1.3133421785879917</v>
      </c>
    </row>
    <row r="41" spans="2:14">
      <c r="B41" s="218"/>
      <c r="C41" s="218"/>
      <c r="D41" s="669" t="s">
        <v>198</v>
      </c>
      <c r="E41" s="670"/>
      <c r="F41" s="670"/>
      <c r="G41" s="670"/>
      <c r="H41" s="670"/>
      <c r="I41" s="670"/>
      <c r="J41" s="670"/>
      <c r="K41" s="670"/>
      <c r="L41" s="670"/>
      <c r="M41" s="670"/>
      <c r="N41" s="671"/>
    </row>
    <row r="42" spans="2:14">
      <c r="B42" s="218"/>
      <c r="C42" s="238">
        <f>B2</f>
        <v>1.3133421785879917</v>
      </c>
      <c r="D42" s="244">
        <v>0</v>
      </c>
      <c r="E42" s="241">
        <v>-0.1</v>
      </c>
      <c r="F42" s="241">
        <v>-0.2</v>
      </c>
      <c r="G42" s="241">
        <v>-0.3</v>
      </c>
      <c r="H42" s="241">
        <v>-0.4</v>
      </c>
      <c r="I42" s="241">
        <v>-0.5</v>
      </c>
      <c r="J42" s="241">
        <v>-0.6</v>
      </c>
      <c r="K42" s="241">
        <v>-0.7</v>
      </c>
      <c r="L42" s="241">
        <v>-0.8</v>
      </c>
      <c r="M42" s="241">
        <v>-0.9</v>
      </c>
      <c r="N42" s="245">
        <v>-1</v>
      </c>
    </row>
    <row r="43" spans="2:14">
      <c r="B43" s="672" t="s">
        <v>200</v>
      </c>
      <c r="C43" s="246">
        <v>0</v>
      </c>
      <c r="D43" s="235">
        <f t="dataTable" ref="D43:N53" dt2D="1" dtr="1" r1="K7" r2="E7"/>
        <v>1.3133421785879917</v>
      </c>
      <c r="E43" s="235">
        <v>1.3133421785879917</v>
      </c>
      <c r="F43" s="235">
        <v>1.3133421785879917</v>
      </c>
      <c r="G43" s="240">
        <v>1.3133421785879917</v>
      </c>
      <c r="H43" s="240">
        <v>1.3133421785879917</v>
      </c>
      <c r="I43" s="240">
        <v>1.3133421785879917</v>
      </c>
      <c r="J43" s="240">
        <v>1.3133421785879917</v>
      </c>
      <c r="K43" s="240">
        <v>1.3133421785879917</v>
      </c>
      <c r="L43" s="240">
        <v>1.3133421785879917</v>
      </c>
      <c r="M43" s="240">
        <v>1.3133421785879917</v>
      </c>
      <c r="N43" s="221">
        <v>1.3133421785879917</v>
      </c>
    </row>
    <row r="44" spans="2:14">
      <c r="B44" s="673"/>
      <c r="C44" s="239">
        <v>0.1</v>
      </c>
      <c r="D44" s="235">
        <v>1.2222536398886912</v>
      </c>
      <c r="E44" s="235">
        <v>1.2222536398886912</v>
      </c>
      <c r="F44" s="235">
        <v>1.2222536398886912</v>
      </c>
      <c r="G44" s="240">
        <v>1.2222536398886912</v>
      </c>
      <c r="H44" s="240">
        <v>1.2222536398886912</v>
      </c>
      <c r="I44" s="240">
        <v>1.2222536398886912</v>
      </c>
      <c r="J44" s="240">
        <v>1.2222536398886912</v>
      </c>
      <c r="K44" s="240">
        <v>1.2222536398886912</v>
      </c>
      <c r="L44" s="240">
        <v>1.2222536398886912</v>
      </c>
      <c r="M44" s="240">
        <v>1.2222536398886912</v>
      </c>
      <c r="N44" s="221">
        <v>1.2222536398886912</v>
      </c>
    </row>
    <row r="45" spans="2:14">
      <c r="B45" s="673"/>
      <c r="C45" s="239">
        <v>0.2</v>
      </c>
      <c r="D45" s="235">
        <v>1.1429807383443513</v>
      </c>
      <c r="E45" s="235">
        <v>1.1429807383443513</v>
      </c>
      <c r="F45" s="235">
        <v>1.1429807383443513</v>
      </c>
      <c r="G45" s="240">
        <v>1.1429807383443513</v>
      </c>
      <c r="H45" s="240">
        <v>1.1429807383443513</v>
      </c>
      <c r="I45" s="240">
        <v>1.1429807383443513</v>
      </c>
      <c r="J45" s="240">
        <v>1.1429807383443513</v>
      </c>
      <c r="K45" s="240">
        <v>1.1429807383443513</v>
      </c>
      <c r="L45" s="240">
        <v>1.1429807383443513</v>
      </c>
      <c r="M45" s="240">
        <v>1.1429807383443513</v>
      </c>
      <c r="N45" s="221">
        <v>1.1429807383443513</v>
      </c>
    </row>
    <row r="46" spans="2:14">
      <c r="B46" s="673"/>
      <c r="C46" s="239">
        <v>0.3</v>
      </c>
      <c r="D46" s="235">
        <v>1.073364486463628</v>
      </c>
      <c r="E46" s="235">
        <v>1.073364486463628</v>
      </c>
      <c r="F46" s="235">
        <v>1.073364486463628</v>
      </c>
      <c r="G46" s="240">
        <v>1.073364486463628</v>
      </c>
      <c r="H46" s="240">
        <v>1.073364486463628</v>
      </c>
      <c r="I46" s="240">
        <v>1.073364486463628</v>
      </c>
      <c r="J46" s="240">
        <v>1.073364486463628</v>
      </c>
      <c r="K46" s="240">
        <v>1.073364486463628</v>
      </c>
      <c r="L46" s="240">
        <v>1.073364486463628</v>
      </c>
      <c r="M46" s="240">
        <v>1.073364486463628</v>
      </c>
      <c r="N46" s="221">
        <v>1.073364486463628</v>
      </c>
    </row>
    <row r="47" spans="2:14">
      <c r="B47" s="673"/>
      <c r="C47" s="239">
        <v>0.4</v>
      </c>
      <c r="D47" s="235">
        <v>1.0117416941824058</v>
      </c>
      <c r="E47" s="235">
        <v>1.0117416941824058</v>
      </c>
      <c r="F47" s="235">
        <v>1.0117416941824058</v>
      </c>
      <c r="G47" s="240">
        <v>1.0117416941824058</v>
      </c>
      <c r="H47" s="240">
        <v>1.0117416941824058</v>
      </c>
      <c r="I47" s="240">
        <v>1.0117416941824058</v>
      </c>
      <c r="J47" s="240">
        <v>1.0117416941824058</v>
      </c>
      <c r="K47" s="240">
        <v>1.0117416941824058</v>
      </c>
      <c r="L47" s="240">
        <v>1.0117416941824058</v>
      </c>
      <c r="M47" s="240">
        <v>1.0117416941824058</v>
      </c>
      <c r="N47" s="221">
        <v>1.0117416941824058</v>
      </c>
    </row>
    <row r="48" spans="2:14">
      <c r="B48" s="673"/>
      <c r="C48" s="239">
        <v>0.5</v>
      </c>
      <c r="D48" s="235">
        <v>0.95681037518841539</v>
      </c>
      <c r="E48" s="235">
        <v>0.95681037518841539</v>
      </c>
      <c r="F48" s="235">
        <v>0.95681037518841539</v>
      </c>
      <c r="G48" s="240">
        <v>0.95681037518841539</v>
      </c>
      <c r="H48" s="240">
        <v>0.95681037518841539</v>
      </c>
      <c r="I48" s="240">
        <v>0.95681037518841539</v>
      </c>
      <c r="J48" s="240">
        <v>0.95681037518841539</v>
      </c>
      <c r="K48" s="240">
        <v>0.95681037518841539</v>
      </c>
      <c r="L48" s="240">
        <v>0.95681037518841539</v>
      </c>
      <c r="M48" s="240">
        <v>0.95681037518841539</v>
      </c>
      <c r="N48" s="221">
        <v>0.95681037518841539</v>
      </c>
    </row>
    <row r="49" spans="2:14">
      <c r="B49" s="673"/>
      <c r="C49" s="239">
        <v>0.6</v>
      </c>
      <c r="D49" s="235">
        <v>0.90753674091906977</v>
      </c>
      <c r="E49" s="235">
        <v>0.90753674091906977</v>
      </c>
      <c r="F49" s="235">
        <v>0.90753674091906977</v>
      </c>
      <c r="G49" s="240">
        <v>0.90753674091906977</v>
      </c>
      <c r="H49" s="240">
        <v>0.90753674091906977</v>
      </c>
      <c r="I49" s="240">
        <v>0.90753674091906977</v>
      </c>
      <c r="J49" s="240">
        <v>0.90753674091906977</v>
      </c>
      <c r="K49" s="240">
        <v>0.90753674091906977</v>
      </c>
      <c r="L49" s="240">
        <v>0.90753674091906977</v>
      </c>
      <c r="M49" s="240">
        <v>0.90753674091906977</v>
      </c>
      <c r="N49" s="221">
        <v>0.90753674091906977</v>
      </c>
    </row>
    <row r="50" spans="2:14">
      <c r="B50" s="673"/>
      <c r="C50" s="239">
        <v>0.7</v>
      </c>
      <c r="D50" s="235">
        <v>0.86308952474460643</v>
      </c>
      <c r="E50" s="235">
        <v>0.86308952474460643</v>
      </c>
      <c r="F50" s="235">
        <v>0.86308952474460643</v>
      </c>
      <c r="G50" s="240">
        <v>0.86308952474460643</v>
      </c>
      <c r="H50" s="240">
        <v>0.86308952474460643</v>
      </c>
      <c r="I50" s="240">
        <v>0.86308952474460643</v>
      </c>
      <c r="J50" s="240">
        <v>0.86308952474460643</v>
      </c>
      <c r="K50" s="240">
        <v>0.86308952474460643</v>
      </c>
      <c r="L50" s="240">
        <v>0.86308952474460643</v>
      </c>
      <c r="M50" s="240">
        <v>0.86308952474460643</v>
      </c>
      <c r="N50" s="221">
        <v>0.86308952474460643</v>
      </c>
    </row>
    <row r="51" spans="2:14">
      <c r="B51" s="673"/>
      <c r="C51" s="239">
        <v>0.8</v>
      </c>
      <c r="D51" s="235">
        <v>0.82279270419590755</v>
      </c>
      <c r="E51" s="235">
        <v>0.82279270419590755</v>
      </c>
      <c r="F51" s="235">
        <v>0.82279270419590755</v>
      </c>
      <c r="G51" s="240">
        <v>0.82279270419590755</v>
      </c>
      <c r="H51" s="240">
        <v>0.82279270419590755</v>
      </c>
      <c r="I51" s="240">
        <v>0.82279270419590755</v>
      </c>
      <c r="J51" s="240">
        <v>0.82279270419590755</v>
      </c>
      <c r="K51" s="240">
        <v>0.82279270419590755</v>
      </c>
      <c r="L51" s="240">
        <v>0.82279270419590755</v>
      </c>
      <c r="M51" s="240">
        <v>0.82279270419590755</v>
      </c>
      <c r="N51" s="221">
        <v>0.82279270419590755</v>
      </c>
    </row>
    <row r="52" spans="2:14">
      <c r="B52" s="673"/>
      <c r="C52" s="239">
        <v>0.9</v>
      </c>
      <c r="D52" s="235">
        <v>0.78609087654209642</v>
      </c>
      <c r="E52" s="235">
        <v>0.78609087654209642</v>
      </c>
      <c r="F52" s="235">
        <v>0.78609087654209642</v>
      </c>
      <c r="G52" s="240">
        <v>0.78609087654209642</v>
      </c>
      <c r="H52" s="240">
        <v>0.78609087654209642</v>
      </c>
      <c r="I52" s="240">
        <v>0.78609087654209642</v>
      </c>
      <c r="J52" s="240">
        <v>0.78609087654209642</v>
      </c>
      <c r="K52" s="240">
        <v>0.78609087654209642</v>
      </c>
      <c r="L52" s="240">
        <v>0.78609087654209642</v>
      </c>
      <c r="M52" s="240">
        <v>0.78609087654209642</v>
      </c>
      <c r="N52" s="221">
        <v>0.78609087654209642</v>
      </c>
    </row>
    <row r="53" spans="2:14">
      <c r="B53" s="674"/>
      <c r="C53" s="245">
        <v>1</v>
      </c>
      <c r="D53" s="242">
        <v>0.75252350548623748</v>
      </c>
      <c r="E53" s="242">
        <v>0.75252350548623748</v>
      </c>
      <c r="F53" s="242">
        <v>0.75252350548623748</v>
      </c>
      <c r="G53" s="243">
        <v>0.75252350548623748</v>
      </c>
      <c r="H53" s="243">
        <v>0.75252350548623748</v>
      </c>
      <c r="I53" s="243">
        <v>0.75252350548623748</v>
      </c>
      <c r="J53" s="243">
        <v>0.75252350548623748</v>
      </c>
      <c r="K53" s="243">
        <v>0.75252350548623748</v>
      </c>
      <c r="L53" s="243">
        <v>0.75252350548623748</v>
      </c>
      <c r="M53" s="243">
        <v>0.75252350548623748</v>
      </c>
      <c r="N53" s="222">
        <v>0.75252350548623748</v>
      </c>
    </row>
  </sheetData>
  <sheetProtection algorithmName="SHA-512" hashValue="dqd+ettbIsAQzamG7hohEAWj7LYgqtK4GHeDrc5QXa4Nl9dV9iy4G95/67sKKPulFay1zzDhIR6amoURKm9xxg==" saltValue="Jdn/cjq3bnIHWs2UgDdX4Q==" spinCount="100000" sheet="1" objects="1" scenarios="1"/>
  <mergeCells count="10">
    <mergeCell ref="D25:N25"/>
    <mergeCell ref="B27:B37"/>
    <mergeCell ref="D41:N41"/>
    <mergeCell ref="B43:B53"/>
    <mergeCell ref="Q5:R5"/>
    <mergeCell ref="N5:O5"/>
    <mergeCell ref="K5:L5"/>
    <mergeCell ref="B5:C5"/>
    <mergeCell ref="H5:I5"/>
    <mergeCell ref="E5:F5"/>
  </mergeCells>
  <conditionalFormatting sqref="D27:N37">
    <cfRule type="colorScale" priority="2">
      <colorScale>
        <cfvo type="min"/>
        <cfvo type="num" val="1"/>
        <cfvo type="max"/>
        <color rgb="FFF8696B"/>
        <color rgb="FFFFEB84"/>
        <color rgb="FF63BE7B"/>
      </colorScale>
    </cfRule>
  </conditionalFormatting>
  <conditionalFormatting sqref="D43:N53">
    <cfRule type="colorScale" priority="1">
      <colorScale>
        <cfvo type="min"/>
        <cfvo type="num" val="1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CC"/>
  </sheetPr>
  <dimension ref="A1:V38"/>
  <sheetViews>
    <sheetView view="pageBreakPreview" zoomScale="75" zoomScaleNormal="85" zoomScaleSheetLayoutView="90" workbookViewId="0">
      <selection activeCell="T32" sqref="T32"/>
    </sheetView>
  </sheetViews>
  <sheetFormatPr baseColWidth="10" defaultColWidth="8.83203125" defaultRowHeight="15"/>
  <cols>
    <col min="1" max="1" width="9.5" customWidth="1"/>
    <col min="2" max="3" width="14.33203125" bestFit="1" customWidth="1"/>
    <col min="4" max="4" width="13.5" customWidth="1"/>
    <col min="5" max="5" width="11.1640625" customWidth="1"/>
    <col min="6" max="6" width="12" customWidth="1"/>
    <col min="8" max="8" width="12" customWidth="1"/>
    <col min="9" max="9" width="14" customWidth="1"/>
    <col min="10" max="10" width="14.83203125" customWidth="1"/>
    <col min="11" max="11" width="13.5" customWidth="1"/>
    <col min="12" max="12" width="13.5" bestFit="1" customWidth="1"/>
    <col min="13" max="16" width="13.83203125" customWidth="1"/>
    <col min="17" max="17" width="14.6640625" customWidth="1"/>
    <col min="18" max="18" width="14" customWidth="1"/>
    <col min="19" max="19" width="14.5" customWidth="1"/>
    <col min="20" max="20" width="14.33203125" bestFit="1" customWidth="1"/>
    <col min="21" max="21" width="13.6640625" customWidth="1"/>
    <col min="22" max="22" width="15.5" customWidth="1"/>
  </cols>
  <sheetData>
    <row r="1" spans="1:22" ht="15.75" customHeight="1" thickBot="1">
      <c r="A1" s="18"/>
      <c r="B1" s="661" t="s">
        <v>44</v>
      </c>
      <c r="C1" s="662"/>
      <c r="D1" s="663"/>
      <c r="E1" s="661" t="s">
        <v>45</v>
      </c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3"/>
      <c r="Q1" s="664" t="s">
        <v>46</v>
      </c>
      <c r="R1" s="665"/>
      <c r="S1" s="665"/>
      <c r="T1" s="665"/>
      <c r="U1" s="665"/>
      <c r="V1" s="666"/>
    </row>
    <row r="2" spans="1:22" ht="24" customHeight="1">
      <c r="A2" s="8"/>
      <c r="B2" s="664" t="s">
        <v>47</v>
      </c>
      <c r="C2" s="665"/>
      <c r="D2" s="666"/>
      <c r="E2" s="679" t="s">
        <v>48</v>
      </c>
      <c r="F2" s="680"/>
      <c r="G2" s="681"/>
      <c r="H2" s="682" t="s">
        <v>49</v>
      </c>
      <c r="I2" s="680"/>
      <c r="J2" s="681"/>
      <c r="K2" s="682" t="s">
        <v>50</v>
      </c>
      <c r="L2" s="680"/>
      <c r="M2" s="681"/>
      <c r="N2" s="682" t="s">
        <v>191</v>
      </c>
      <c r="O2" s="680"/>
      <c r="P2" s="683"/>
      <c r="Q2" s="665" t="s">
        <v>17</v>
      </c>
      <c r="R2" s="665"/>
      <c r="S2" s="666"/>
      <c r="T2" s="665" t="s">
        <v>18</v>
      </c>
      <c r="U2" s="665"/>
      <c r="V2" s="666"/>
    </row>
    <row r="3" spans="1:22" ht="18.75" customHeight="1" thickBot="1">
      <c r="A3" s="19" t="s">
        <v>23</v>
      </c>
      <c r="B3" s="23" t="s">
        <v>225</v>
      </c>
      <c r="C3" s="20" t="s">
        <v>169</v>
      </c>
      <c r="D3" s="24" t="s">
        <v>24</v>
      </c>
      <c r="E3" s="14" t="s">
        <v>225</v>
      </c>
      <c r="F3" s="15" t="s">
        <v>169</v>
      </c>
      <c r="G3" s="22" t="s">
        <v>24</v>
      </c>
      <c r="H3" s="21" t="s">
        <v>225</v>
      </c>
      <c r="I3" s="15" t="s">
        <v>169</v>
      </c>
      <c r="J3" s="22" t="s">
        <v>24</v>
      </c>
      <c r="K3" s="21" t="s">
        <v>225</v>
      </c>
      <c r="L3" s="15" t="s">
        <v>169</v>
      </c>
      <c r="M3" s="22" t="s">
        <v>24</v>
      </c>
      <c r="N3" s="21" t="s">
        <v>225</v>
      </c>
      <c r="O3" s="15" t="s">
        <v>169</v>
      </c>
      <c r="P3" s="16" t="s">
        <v>24</v>
      </c>
      <c r="Q3" s="15" t="s">
        <v>225</v>
      </c>
      <c r="R3" s="15" t="s">
        <v>169</v>
      </c>
      <c r="S3" s="16" t="s">
        <v>24</v>
      </c>
      <c r="T3" s="15" t="s">
        <v>225</v>
      </c>
      <c r="U3" s="15" t="s">
        <v>169</v>
      </c>
      <c r="V3" s="16" t="s">
        <v>24</v>
      </c>
    </row>
    <row r="4" spans="1:22" ht="16">
      <c r="A4" s="32" t="s">
        <v>25</v>
      </c>
      <c r="B4" s="27">
        <f>'Parametre - Agendové IS'!D116</f>
        <v>0</v>
      </c>
      <c r="C4" s="27">
        <f>'Parametre - Agendové IS'!E116</f>
        <v>0</v>
      </c>
      <c r="D4" s="29">
        <f>IF(ISERR(C4-B4),"-",C4-B4)</f>
        <v>0</v>
      </c>
      <c r="E4" s="376"/>
      <c r="F4" s="377"/>
      <c r="G4" s="34">
        <f t="shared" ref="G4:G13" si="0">IF(ISERR(F4-E4),"-",F4-E4)</f>
        <v>0</v>
      </c>
      <c r="H4" s="30">
        <v>0</v>
      </c>
      <c r="I4" s="26">
        <f>'Parametre - Agendové IS'!E96</f>
        <v>0</v>
      </c>
      <c r="J4" s="34">
        <f>IF(ISERR(I4-H4),"-",I4-H4)</f>
        <v>0</v>
      </c>
      <c r="K4" s="27">
        <f>'Parametre - Agendové IS'!D126</f>
        <v>0</v>
      </c>
      <c r="L4" s="27">
        <f>'Parametre - Agendové IS'!E126</f>
        <v>0</v>
      </c>
      <c r="M4" s="29">
        <f>IF(ISERR(L4-K4),"-",L4-K4)</f>
        <v>0</v>
      </c>
      <c r="N4" s="26">
        <f>-'Parametre - Agendové IS'!D76</f>
        <v>0</v>
      </c>
      <c r="O4" s="26">
        <f>-'Parametre - Agendové IS'!E76</f>
        <v>0</v>
      </c>
      <c r="P4" s="34">
        <f t="shared" ref="P4:P13" si="1">IF(ISERR(O4-N4),"-",O4-N4)</f>
        <v>0</v>
      </c>
      <c r="Q4" s="27">
        <f>SUM(B4,E4)</f>
        <v>0</v>
      </c>
      <c r="R4" s="26">
        <f t="shared" ref="R4:R13" si="2">SUM(C4,F4)</f>
        <v>0</v>
      </c>
      <c r="S4" s="29">
        <f>R4-Q4</f>
        <v>0</v>
      </c>
      <c r="T4" s="27">
        <f>SUM(H4,K4,N4)</f>
        <v>0</v>
      </c>
      <c r="U4" s="26">
        <f>SUM(I4,L4,O4)</f>
        <v>0</v>
      </c>
      <c r="V4" s="29">
        <f>U4-T4</f>
        <v>0</v>
      </c>
    </row>
    <row r="5" spans="1:22" ht="16">
      <c r="A5" s="33" t="s">
        <v>26</v>
      </c>
      <c r="B5" s="27">
        <f>'Parametre - Agendové IS'!D117</f>
        <v>0</v>
      </c>
      <c r="C5" s="27">
        <f>'Parametre - Agendové IS'!E117</f>
        <v>0</v>
      </c>
      <c r="D5" s="29">
        <f t="shared" ref="D5:D13" si="3">IF(ISERR(C5-B5),"-",C5-B5)</f>
        <v>0</v>
      </c>
      <c r="E5" s="376"/>
      <c r="F5" s="377"/>
      <c r="G5" s="29">
        <f t="shared" si="0"/>
        <v>0</v>
      </c>
      <c r="H5" s="30">
        <v>0</v>
      </c>
      <c r="I5" s="26">
        <f>'Parametre - Agendové IS'!E97</f>
        <v>0</v>
      </c>
      <c r="J5" s="150">
        <f>IF(ISERR(I5-H5),"-",I5-H5)</f>
        <v>0</v>
      </c>
      <c r="K5" s="27">
        <f>'Parametre - Agendové IS'!D127</f>
        <v>0</v>
      </c>
      <c r="L5" s="27">
        <f>'Parametre - Agendové IS'!E127</f>
        <v>0</v>
      </c>
      <c r="M5" s="29">
        <f t="shared" ref="M5:M13" si="4">IF(ISERR(L5-K5),"-",L5-K5)</f>
        <v>0</v>
      </c>
      <c r="N5" s="26">
        <f>-'Parametre - Agendové IS'!D77</f>
        <v>0</v>
      </c>
      <c r="O5" s="26">
        <f>-'Parametre - Agendové IS'!E77</f>
        <v>0</v>
      </c>
      <c r="P5" s="29">
        <f t="shared" si="1"/>
        <v>0</v>
      </c>
      <c r="Q5" s="27">
        <f t="shared" ref="Q5:Q13" si="5">SUM(B5,E5)</f>
        <v>0</v>
      </c>
      <c r="R5" s="26">
        <f t="shared" si="2"/>
        <v>0</v>
      </c>
      <c r="S5" s="29">
        <f t="shared" ref="S5:S12" si="6">R5-Q5</f>
        <v>0</v>
      </c>
      <c r="T5" s="27">
        <f t="shared" ref="T5:U13" si="7">SUM(H5,K5,N5)</f>
        <v>0</v>
      </c>
      <c r="U5" s="26">
        <f t="shared" si="7"/>
        <v>0</v>
      </c>
      <c r="V5" s="29">
        <f t="shared" ref="V5:V13" si="8">U5-T5</f>
        <v>0</v>
      </c>
    </row>
    <row r="6" spans="1:22" ht="16">
      <c r="A6" s="33" t="s">
        <v>27</v>
      </c>
      <c r="B6" s="27">
        <f>'Parametre - Agendové IS'!D118</f>
        <v>0</v>
      </c>
      <c r="C6" s="27">
        <f>'Parametre - Agendové IS'!E118</f>
        <v>0</v>
      </c>
      <c r="D6" s="29">
        <f t="shared" si="3"/>
        <v>0</v>
      </c>
      <c r="E6" s="376"/>
      <c r="F6" s="377"/>
      <c r="G6" s="29">
        <f t="shared" si="0"/>
        <v>0</v>
      </c>
      <c r="H6" s="30">
        <v>0</v>
      </c>
      <c r="I6" s="26">
        <f>'Parametre - Agendové IS'!E98</f>
        <v>0</v>
      </c>
      <c r="J6" s="29">
        <f t="shared" ref="J6:J13" si="9">IF(ISERR(I6-H6),"-",I6-H6)</f>
        <v>0</v>
      </c>
      <c r="K6" s="27">
        <f>'Parametre - Agendové IS'!D128</f>
        <v>0</v>
      </c>
      <c r="L6" s="27">
        <f>'Parametre - Agendové IS'!E128</f>
        <v>135000</v>
      </c>
      <c r="M6" s="29">
        <f t="shared" si="4"/>
        <v>135000</v>
      </c>
      <c r="N6" s="26">
        <f>-'Parametre - Agendové IS'!D78</f>
        <v>0</v>
      </c>
      <c r="O6" s="26">
        <f>-'Parametre - Agendové IS'!E78</f>
        <v>0</v>
      </c>
      <c r="P6" s="29">
        <f t="shared" si="1"/>
        <v>0</v>
      </c>
      <c r="Q6" s="27">
        <f t="shared" si="5"/>
        <v>0</v>
      </c>
      <c r="R6" s="26">
        <f t="shared" si="2"/>
        <v>0</v>
      </c>
      <c r="S6" s="29">
        <f t="shared" si="6"/>
        <v>0</v>
      </c>
      <c r="T6" s="27">
        <f t="shared" si="7"/>
        <v>0</v>
      </c>
      <c r="U6" s="26">
        <f t="shared" si="7"/>
        <v>135000</v>
      </c>
      <c r="V6" s="29">
        <f t="shared" si="8"/>
        <v>135000</v>
      </c>
    </row>
    <row r="7" spans="1:22" ht="16">
      <c r="A7" s="33" t="s">
        <v>28</v>
      </c>
      <c r="B7" s="27">
        <f>'Parametre - Agendové IS'!D119</f>
        <v>0</v>
      </c>
      <c r="C7" s="27">
        <f>'Parametre - Agendové IS'!E119</f>
        <v>0</v>
      </c>
      <c r="D7" s="29">
        <f t="shared" si="3"/>
        <v>0</v>
      </c>
      <c r="E7" s="376"/>
      <c r="F7" s="377"/>
      <c r="G7" s="29">
        <f t="shared" si="0"/>
        <v>0</v>
      </c>
      <c r="H7" s="30">
        <v>0</v>
      </c>
      <c r="I7" s="26">
        <f>'Parametre - Agendové IS'!E99</f>
        <v>0</v>
      </c>
      <c r="J7" s="29">
        <f t="shared" si="9"/>
        <v>0</v>
      </c>
      <c r="K7" s="27">
        <f>'Parametre - Agendové IS'!D129</f>
        <v>0</v>
      </c>
      <c r="L7" s="27">
        <f>'Parametre - Agendové IS'!E129</f>
        <v>405000</v>
      </c>
      <c r="M7" s="29">
        <f t="shared" si="4"/>
        <v>405000</v>
      </c>
      <c r="N7" s="26">
        <f>-'Parametre - Agendové IS'!D79</f>
        <v>0</v>
      </c>
      <c r="O7" s="26">
        <f>-'Parametre - Agendové IS'!E79</f>
        <v>0</v>
      </c>
      <c r="P7" s="29">
        <f t="shared" si="1"/>
        <v>0</v>
      </c>
      <c r="Q7" s="27">
        <f t="shared" si="5"/>
        <v>0</v>
      </c>
      <c r="R7" s="26">
        <f t="shared" si="2"/>
        <v>0</v>
      </c>
      <c r="S7" s="29">
        <f t="shared" si="6"/>
        <v>0</v>
      </c>
      <c r="T7" s="27">
        <f t="shared" si="7"/>
        <v>0</v>
      </c>
      <c r="U7" s="26">
        <f t="shared" si="7"/>
        <v>405000</v>
      </c>
      <c r="V7" s="29">
        <f t="shared" si="8"/>
        <v>405000</v>
      </c>
    </row>
    <row r="8" spans="1:22" ht="16">
      <c r="A8" s="33" t="s">
        <v>29</v>
      </c>
      <c r="B8" s="27">
        <f>'Parametre - Agendové IS'!D120</f>
        <v>0</v>
      </c>
      <c r="C8" s="27">
        <f>'Parametre - Agendové IS'!E120</f>
        <v>0</v>
      </c>
      <c r="D8" s="29">
        <f t="shared" si="3"/>
        <v>0</v>
      </c>
      <c r="E8" s="376"/>
      <c r="F8" s="377"/>
      <c r="G8" s="29">
        <f t="shared" si="0"/>
        <v>0</v>
      </c>
      <c r="H8" s="30">
        <v>0</v>
      </c>
      <c r="I8" s="26">
        <f>'Parametre - Agendové IS'!E100</f>
        <v>0</v>
      </c>
      <c r="J8" s="29">
        <f t="shared" si="9"/>
        <v>0</v>
      </c>
      <c r="K8" s="27">
        <f>'Parametre - Agendové IS'!D130</f>
        <v>0</v>
      </c>
      <c r="L8" s="27">
        <f>'Parametre - Agendové IS'!E130</f>
        <v>607500</v>
      </c>
      <c r="M8" s="29">
        <f t="shared" si="4"/>
        <v>607500</v>
      </c>
      <c r="N8" s="26">
        <f>-'Parametre - Agendové IS'!D80</f>
        <v>0</v>
      </c>
      <c r="O8" s="26">
        <f>-'Parametre - Agendové IS'!E80</f>
        <v>0</v>
      </c>
      <c r="P8" s="29">
        <f t="shared" si="1"/>
        <v>0</v>
      </c>
      <c r="Q8" s="27">
        <f t="shared" si="5"/>
        <v>0</v>
      </c>
      <c r="R8" s="26">
        <f t="shared" si="2"/>
        <v>0</v>
      </c>
      <c r="S8" s="29">
        <f t="shared" si="6"/>
        <v>0</v>
      </c>
      <c r="T8" s="27">
        <f t="shared" si="7"/>
        <v>0</v>
      </c>
      <c r="U8" s="26">
        <f t="shared" si="7"/>
        <v>607500</v>
      </c>
      <c r="V8" s="29">
        <f t="shared" si="8"/>
        <v>607500</v>
      </c>
    </row>
    <row r="9" spans="1:22" ht="16">
      <c r="A9" s="33" t="s">
        <v>30</v>
      </c>
      <c r="B9" s="27">
        <f>'Parametre - Agendové IS'!D121</f>
        <v>0</v>
      </c>
      <c r="C9" s="27">
        <f>'Parametre - Agendové IS'!E121</f>
        <v>0</v>
      </c>
      <c r="D9" s="29">
        <f t="shared" si="3"/>
        <v>0</v>
      </c>
      <c r="E9" s="376"/>
      <c r="F9" s="377"/>
      <c r="G9" s="29">
        <f t="shared" si="0"/>
        <v>0</v>
      </c>
      <c r="H9" s="30">
        <v>0</v>
      </c>
      <c r="I9" s="26">
        <f>'Parametre - Agendové IS'!E101</f>
        <v>0</v>
      </c>
      <c r="J9" s="29">
        <f t="shared" si="9"/>
        <v>0</v>
      </c>
      <c r="K9" s="27">
        <f>'Parametre - Agendové IS'!D131</f>
        <v>0</v>
      </c>
      <c r="L9" s="27">
        <f>'Parametre - Agendové IS'!E131</f>
        <v>810000</v>
      </c>
      <c r="M9" s="29">
        <f t="shared" si="4"/>
        <v>810000</v>
      </c>
      <c r="N9" s="26">
        <f>-'Parametre - Agendové IS'!D81</f>
        <v>0</v>
      </c>
      <c r="O9" s="26">
        <f>-'Parametre - Agendové IS'!E81</f>
        <v>0</v>
      </c>
      <c r="P9" s="29">
        <f t="shared" si="1"/>
        <v>0</v>
      </c>
      <c r="Q9" s="27">
        <f t="shared" si="5"/>
        <v>0</v>
      </c>
      <c r="R9" s="26">
        <f t="shared" si="2"/>
        <v>0</v>
      </c>
      <c r="S9" s="29">
        <f t="shared" si="6"/>
        <v>0</v>
      </c>
      <c r="T9" s="27">
        <f t="shared" si="7"/>
        <v>0</v>
      </c>
      <c r="U9" s="26">
        <f t="shared" si="7"/>
        <v>810000</v>
      </c>
      <c r="V9" s="29">
        <f t="shared" si="8"/>
        <v>810000</v>
      </c>
    </row>
    <row r="10" spans="1:22" ht="16">
      <c r="A10" s="33" t="s">
        <v>31</v>
      </c>
      <c r="B10" s="27">
        <f>'Parametre - Agendové IS'!D122</f>
        <v>0</v>
      </c>
      <c r="C10" s="27">
        <f>'Parametre - Agendové IS'!E122</f>
        <v>0</v>
      </c>
      <c r="D10" s="29">
        <f t="shared" si="3"/>
        <v>0</v>
      </c>
      <c r="E10" s="376"/>
      <c r="F10" s="377"/>
      <c r="G10" s="29">
        <f t="shared" si="0"/>
        <v>0</v>
      </c>
      <c r="H10" s="30">
        <v>0</v>
      </c>
      <c r="I10" s="26">
        <f>'Parametre - Agendové IS'!E102</f>
        <v>0</v>
      </c>
      <c r="J10" s="29">
        <f t="shared" si="9"/>
        <v>0</v>
      </c>
      <c r="K10" s="27">
        <f>'Parametre - Agendové IS'!D132</f>
        <v>0</v>
      </c>
      <c r="L10" s="27">
        <f>'Parametre - Agendové IS'!E132</f>
        <v>810000</v>
      </c>
      <c r="M10" s="29">
        <f t="shared" si="4"/>
        <v>810000</v>
      </c>
      <c r="N10" s="26">
        <f>-'Parametre - Agendové IS'!D82</f>
        <v>0</v>
      </c>
      <c r="O10" s="26">
        <f>-'Parametre - Agendové IS'!E82</f>
        <v>0</v>
      </c>
      <c r="P10" s="29">
        <f t="shared" si="1"/>
        <v>0</v>
      </c>
      <c r="Q10" s="27">
        <f t="shared" si="5"/>
        <v>0</v>
      </c>
      <c r="R10" s="26">
        <f t="shared" si="2"/>
        <v>0</v>
      </c>
      <c r="S10" s="29">
        <f t="shared" si="6"/>
        <v>0</v>
      </c>
      <c r="T10" s="27">
        <f t="shared" si="7"/>
        <v>0</v>
      </c>
      <c r="U10" s="26">
        <f t="shared" si="7"/>
        <v>810000</v>
      </c>
      <c r="V10" s="29">
        <f t="shared" si="8"/>
        <v>810000</v>
      </c>
    </row>
    <row r="11" spans="1:22" ht="16">
      <c r="A11" s="33" t="s">
        <v>32</v>
      </c>
      <c r="B11" s="27">
        <f>'Parametre - Agendové IS'!D123</f>
        <v>0</v>
      </c>
      <c r="C11" s="27">
        <f>'Parametre - Agendové IS'!E123</f>
        <v>0</v>
      </c>
      <c r="D11" s="29">
        <f t="shared" si="3"/>
        <v>0</v>
      </c>
      <c r="E11" s="376"/>
      <c r="F11" s="377"/>
      <c r="G11" s="29">
        <f t="shared" si="0"/>
        <v>0</v>
      </c>
      <c r="H11" s="30">
        <v>0</v>
      </c>
      <c r="I11" s="26">
        <f>'Parametre - Agendové IS'!E103</f>
        <v>0</v>
      </c>
      <c r="J11" s="29">
        <f t="shared" si="9"/>
        <v>0</v>
      </c>
      <c r="K11" s="27">
        <f>'Parametre - Agendové IS'!D133</f>
        <v>0</v>
      </c>
      <c r="L11" s="27">
        <f>'Parametre - Agendové IS'!E133</f>
        <v>1012500</v>
      </c>
      <c r="M11" s="29">
        <f t="shared" si="4"/>
        <v>1012500</v>
      </c>
      <c r="N11" s="26">
        <f>-'Parametre - Agendové IS'!D83</f>
        <v>0</v>
      </c>
      <c r="O11" s="26">
        <f>-'Parametre - Agendové IS'!E83</f>
        <v>0</v>
      </c>
      <c r="P11" s="29">
        <f t="shared" si="1"/>
        <v>0</v>
      </c>
      <c r="Q11" s="27">
        <f t="shared" si="5"/>
        <v>0</v>
      </c>
      <c r="R11" s="26">
        <f t="shared" si="2"/>
        <v>0</v>
      </c>
      <c r="S11" s="29">
        <f t="shared" si="6"/>
        <v>0</v>
      </c>
      <c r="T11" s="27">
        <f t="shared" si="7"/>
        <v>0</v>
      </c>
      <c r="U11" s="26">
        <f t="shared" si="7"/>
        <v>1012500</v>
      </c>
      <c r="V11" s="29">
        <f t="shared" si="8"/>
        <v>1012500</v>
      </c>
    </row>
    <row r="12" spans="1:22" ht="16">
      <c r="A12" s="33" t="s">
        <v>33</v>
      </c>
      <c r="B12" s="27">
        <f>'Parametre - Agendové IS'!D124</f>
        <v>0</v>
      </c>
      <c r="C12" s="27">
        <f>'Parametre - Agendové IS'!E124</f>
        <v>0</v>
      </c>
      <c r="D12" s="29">
        <f t="shared" si="3"/>
        <v>0</v>
      </c>
      <c r="E12" s="376"/>
      <c r="F12" s="377"/>
      <c r="G12" s="29">
        <f t="shared" si="0"/>
        <v>0</v>
      </c>
      <c r="H12" s="30">
        <v>0</v>
      </c>
      <c r="I12" s="26">
        <f>'Parametre - Agendové IS'!E104</f>
        <v>0</v>
      </c>
      <c r="J12" s="29">
        <f t="shared" si="9"/>
        <v>0</v>
      </c>
      <c r="K12" s="27">
        <f>'Parametre - Agendové IS'!D134</f>
        <v>0</v>
      </c>
      <c r="L12" s="27">
        <f>'Parametre - Agendové IS'!E134</f>
        <v>1012500</v>
      </c>
      <c r="M12" s="29">
        <f t="shared" si="4"/>
        <v>1012500</v>
      </c>
      <c r="N12" s="26">
        <f>-'Parametre - Agendové IS'!D84</f>
        <v>0</v>
      </c>
      <c r="O12" s="26">
        <f>-'Parametre - Agendové IS'!E84</f>
        <v>0</v>
      </c>
      <c r="P12" s="29">
        <f t="shared" si="1"/>
        <v>0</v>
      </c>
      <c r="Q12" s="27">
        <f t="shared" si="5"/>
        <v>0</v>
      </c>
      <c r="R12" s="26">
        <f t="shared" si="2"/>
        <v>0</v>
      </c>
      <c r="S12" s="29">
        <f t="shared" si="6"/>
        <v>0</v>
      </c>
      <c r="T12" s="27">
        <f t="shared" si="7"/>
        <v>0</v>
      </c>
      <c r="U12" s="26">
        <f t="shared" si="7"/>
        <v>1012500</v>
      </c>
      <c r="V12" s="29">
        <f t="shared" si="8"/>
        <v>1012500</v>
      </c>
    </row>
    <row r="13" spans="1:22" ht="15.75" customHeight="1" thickBot="1">
      <c r="A13" s="33" t="s">
        <v>34</v>
      </c>
      <c r="B13" s="47">
        <f>'Parametre - Agendové IS'!D125</f>
        <v>0</v>
      </c>
      <c r="C13" s="47">
        <f>'Parametre - Agendové IS'!E125</f>
        <v>0</v>
      </c>
      <c r="D13" s="171">
        <f t="shared" si="3"/>
        <v>0</v>
      </c>
      <c r="E13" s="378"/>
      <c r="F13" s="379"/>
      <c r="G13" s="171">
        <f t="shared" si="0"/>
        <v>0</v>
      </c>
      <c r="H13" s="30">
        <v>0</v>
      </c>
      <c r="I13" s="43">
        <f>'Parametre - Agendové IS'!E105</f>
        <v>0</v>
      </c>
      <c r="J13" s="171">
        <f t="shared" si="9"/>
        <v>0</v>
      </c>
      <c r="K13" s="47">
        <f>'Parametre - Agendové IS'!D135</f>
        <v>0</v>
      </c>
      <c r="L13" s="47">
        <f>'Parametre - Agendové IS'!E135</f>
        <v>1012500</v>
      </c>
      <c r="M13" s="171">
        <f t="shared" si="4"/>
        <v>1012500</v>
      </c>
      <c r="N13" s="43">
        <f>-'Parametre - Agendové IS'!D85</f>
        <v>0</v>
      </c>
      <c r="O13" s="43">
        <f>-'Parametre - Agendové IS'!E85</f>
        <v>0</v>
      </c>
      <c r="P13" s="43">
        <f t="shared" si="1"/>
        <v>0</v>
      </c>
      <c r="Q13" s="174">
        <f t="shared" si="5"/>
        <v>0</v>
      </c>
      <c r="R13" s="43">
        <f t="shared" si="2"/>
        <v>0</v>
      </c>
      <c r="S13" s="171">
        <f>R13-Q13</f>
        <v>0</v>
      </c>
      <c r="T13" s="47">
        <f t="shared" si="7"/>
        <v>0</v>
      </c>
      <c r="U13" s="43">
        <f t="shared" si="7"/>
        <v>1012500</v>
      </c>
      <c r="V13" s="171">
        <f t="shared" si="8"/>
        <v>1012500</v>
      </c>
    </row>
    <row r="14" spans="1:22" ht="16">
      <c r="A14" s="175" t="s">
        <v>107</v>
      </c>
      <c r="B14" s="558">
        <f>SUM(B4:B13)</f>
        <v>0</v>
      </c>
      <c r="C14" s="558">
        <f t="shared" ref="C14:P14" si="10">SUM(C4:C13)</f>
        <v>0</v>
      </c>
      <c r="D14" s="559">
        <f t="shared" si="10"/>
        <v>0</v>
      </c>
      <c r="E14" s="558">
        <f t="shared" si="10"/>
        <v>0</v>
      </c>
      <c r="F14" s="560">
        <f t="shared" si="10"/>
        <v>0</v>
      </c>
      <c r="G14" s="559">
        <f t="shared" si="10"/>
        <v>0</v>
      </c>
      <c r="H14" s="558">
        <f t="shared" si="10"/>
        <v>0</v>
      </c>
      <c r="I14" s="560">
        <f t="shared" si="10"/>
        <v>0</v>
      </c>
      <c r="J14" s="559">
        <f t="shared" si="10"/>
        <v>0</v>
      </c>
      <c r="K14" s="558">
        <f t="shared" si="10"/>
        <v>0</v>
      </c>
      <c r="L14" s="558">
        <f t="shared" si="10"/>
        <v>5805000</v>
      </c>
      <c r="M14" s="559">
        <f t="shared" si="10"/>
        <v>5805000</v>
      </c>
      <c r="N14" s="560">
        <f t="shared" si="10"/>
        <v>0</v>
      </c>
      <c r="O14" s="560">
        <f t="shared" si="10"/>
        <v>0</v>
      </c>
      <c r="P14" s="561">
        <f t="shared" si="10"/>
        <v>0</v>
      </c>
      <c r="Q14" s="562">
        <f t="shared" ref="Q14:V14" si="11">SUM(Q4:Q13)</f>
        <v>0</v>
      </c>
      <c r="R14" s="560">
        <f t="shared" si="11"/>
        <v>0</v>
      </c>
      <c r="S14" s="563">
        <f t="shared" si="11"/>
        <v>0</v>
      </c>
      <c r="T14" s="562">
        <f t="shared" si="11"/>
        <v>0</v>
      </c>
      <c r="U14" s="560">
        <f t="shared" si="11"/>
        <v>5805000</v>
      </c>
      <c r="V14" s="564">
        <f t="shared" si="11"/>
        <v>5805000</v>
      </c>
    </row>
    <row r="15" spans="1:22" ht="17" thickBot="1">
      <c r="A15" s="176" t="s">
        <v>159</v>
      </c>
      <c r="B15" s="565"/>
      <c r="C15" s="565"/>
      <c r="D15" s="566">
        <f>D4+NPV(Faktory!$D$5,'Prínosy - Agendové IS'!D5:D13)</f>
        <v>0</v>
      </c>
      <c r="E15" s="567"/>
      <c r="F15" s="568"/>
      <c r="G15" s="566">
        <f>G4+NPV(Faktory!$D$3,'Prínosy - Agendové IS'!G5:G13)</f>
        <v>0</v>
      </c>
      <c r="H15" s="567"/>
      <c r="I15" s="568"/>
      <c r="J15" s="566">
        <f>J4+NPV(Faktory!$D$5,'Prínosy - Agendové IS'!J5:J13)</f>
        <v>0</v>
      </c>
      <c r="K15" s="565"/>
      <c r="L15" s="565"/>
      <c r="M15" s="566">
        <f>M4+NPV(Faktory!$D$5,'Prínosy - Agendové IS'!M5:M13)</f>
        <v>4268716.8550295848</v>
      </c>
      <c r="N15" s="568"/>
      <c r="O15" s="568"/>
      <c r="P15" s="569">
        <f>P4+NPV(Faktory!$D$5,'Prínosy - Agendové IS'!P5:P13)</f>
        <v>0</v>
      </c>
      <c r="Q15" s="570"/>
      <c r="R15" s="568"/>
      <c r="S15" s="566">
        <f>S4+NPV(Faktory!$D$5,'Prínosy - Agendové IS'!S5:S13)</f>
        <v>0</v>
      </c>
      <c r="T15" s="570"/>
      <c r="U15" s="568"/>
      <c r="V15" s="566">
        <f>V4+NPV(Faktory!$D$5,'Prínosy - Agendové IS'!V5:V13)</f>
        <v>4268716.8550295848</v>
      </c>
    </row>
    <row r="17" spans="2:2">
      <c r="B17" s="106" t="s">
        <v>172</v>
      </c>
    </row>
    <row r="38" spans="15:15">
      <c r="O38" s="173"/>
    </row>
  </sheetData>
  <protectedRanges>
    <protectedRange algorithmName="SHA-512" hashValue="f4ycvS5NMakRYlpexdvZE7kc5B00PVZgCpNS64jzUJaJceYSE+aleudxwPGxr22CZo/5IZ2uTHVQQMolnN60/A==" saltValue="c0KVc6r/LTYq/uhy9236YA==" spinCount="100000" sqref="E2:G15" name="Rozsah1"/>
  </protectedRanges>
  <mergeCells count="10">
    <mergeCell ref="B1:D1"/>
    <mergeCell ref="Q1:V1"/>
    <mergeCell ref="B2:D2"/>
    <mergeCell ref="E2:G2"/>
    <mergeCell ref="H2:J2"/>
    <mergeCell ref="K2:M2"/>
    <mergeCell ref="Q2:S2"/>
    <mergeCell ref="T2:V2"/>
    <mergeCell ref="N2:P2"/>
    <mergeCell ref="E1:P1"/>
  </mergeCells>
  <pageMargins left="0.7" right="0.7" top="0.75" bottom="0.75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2"/>
  <sheetViews>
    <sheetView view="pageBreakPreview" zoomScaleNormal="80" zoomScaleSheetLayoutView="100" workbookViewId="0">
      <selection activeCell="Q34" sqref="Q34"/>
    </sheetView>
  </sheetViews>
  <sheetFormatPr baseColWidth="10" defaultColWidth="8.83203125" defaultRowHeight="15"/>
  <cols>
    <col min="2" max="2" width="14.33203125" customWidth="1"/>
    <col min="3" max="3" width="15.83203125" bestFit="1" customWidth="1"/>
    <col min="4" max="4" width="16.6640625" bestFit="1" customWidth="1"/>
    <col min="5" max="6" width="13.5" bestFit="1" customWidth="1"/>
    <col min="7" max="7" width="16.6640625" bestFit="1" customWidth="1"/>
    <col min="8" max="8" width="14.5" bestFit="1" customWidth="1"/>
    <col min="9" max="9" width="13.5" bestFit="1" customWidth="1"/>
    <col min="10" max="10" width="16.6640625" bestFit="1" customWidth="1"/>
    <col min="11" max="16" width="16.6640625" customWidth="1"/>
    <col min="17" max="17" width="13.5" bestFit="1" customWidth="1"/>
    <col min="18" max="18" width="15.83203125" bestFit="1" customWidth="1"/>
    <col min="19" max="19" width="15.33203125" customWidth="1"/>
    <col min="20" max="21" width="17" bestFit="1" customWidth="1"/>
    <col min="22" max="22" width="14.33203125" bestFit="1" customWidth="1"/>
  </cols>
  <sheetData>
    <row r="1" spans="1:23" ht="15.75" customHeight="1" thickBot="1">
      <c r="A1" s="37"/>
      <c r="B1" s="685" t="s">
        <v>185</v>
      </c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7"/>
      <c r="N1" s="685" t="s">
        <v>318</v>
      </c>
      <c r="O1" s="686"/>
      <c r="P1" s="687"/>
      <c r="Q1" s="684" t="s">
        <v>71</v>
      </c>
      <c r="R1" s="684"/>
      <c r="S1" s="684"/>
      <c r="T1" s="661" t="s">
        <v>72</v>
      </c>
      <c r="U1" s="662"/>
      <c r="V1" s="663"/>
    </row>
    <row r="2" spans="1:23" ht="15.75" customHeight="1" thickBot="1">
      <c r="A2" s="8"/>
      <c r="B2" s="662" t="s">
        <v>68</v>
      </c>
      <c r="C2" s="662"/>
      <c r="D2" s="663"/>
      <c r="E2" s="662" t="s">
        <v>69</v>
      </c>
      <c r="F2" s="662"/>
      <c r="G2" s="663"/>
      <c r="H2" s="662" t="s">
        <v>109</v>
      </c>
      <c r="I2" s="662"/>
      <c r="J2" s="663"/>
      <c r="K2" s="662" t="s">
        <v>351</v>
      </c>
      <c r="L2" s="662"/>
      <c r="M2" s="663"/>
      <c r="N2" s="662"/>
      <c r="O2" s="662"/>
      <c r="P2" s="663"/>
      <c r="Q2" s="662" t="s">
        <v>70</v>
      </c>
      <c r="R2" s="662"/>
      <c r="S2" s="663"/>
      <c r="T2" s="8"/>
      <c r="U2" s="8"/>
      <c r="V2" s="38"/>
    </row>
    <row r="3" spans="1:23" ht="19.5" customHeight="1" thickBot="1">
      <c r="A3" s="40" t="s">
        <v>23</v>
      </c>
      <c r="B3" s="41" t="s">
        <v>225</v>
      </c>
      <c r="C3" s="41" t="s">
        <v>169</v>
      </c>
      <c r="D3" s="42" t="s">
        <v>24</v>
      </c>
      <c r="E3" s="41" t="s">
        <v>225</v>
      </c>
      <c r="F3" s="41" t="s">
        <v>169</v>
      </c>
      <c r="G3" s="42" t="s">
        <v>24</v>
      </c>
      <c r="H3" s="41" t="s">
        <v>225</v>
      </c>
      <c r="I3" s="41" t="s">
        <v>169</v>
      </c>
      <c r="J3" s="42" t="s">
        <v>24</v>
      </c>
      <c r="K3" s="41" t="s">
        <v>225</v>
      </c>
      <c r="L3" s="41" t="s">
        <v>169</v>
      </c>
      <c r="M3" s="42" t="s">
        <v>24</v>
      </c>
      <c r="N3" s="41" t="s">
        <v>225</v>
      </c>
      <c r="O3" s="41" t="s">
        <v>169</v>
      </c>
      <c r="P3" s="42" t="s">
        <v>24</v>
      </c>
      <c r="Q3" s="41" t="s">
        <v>225</v>
      </c>
      <c r="R3" s="41" t="s">
        <v>169</v>
      </c>
      <c r="S3" s="42" t="s">
        <v>24</v>
      </c>
      <c r="T3" s="41" t="s">
        <v>225</v>
      </c>
      <c r="U3" s="41" t="s">
        <v>169</v>
      </c>
      <c r="V3" s="42" t="s">
        <v>24</v>
      </c>
    </row>
    <row r="4" spans="1:23" ht="16">
      <c r="A4" s="25" t="s">
        <v>25</v>
      </c>
      <c r="B4" s="26">
        <f>TCO!D26+TCO!D27</f>
        <v>0</v>
      </c>
      <c r="C4" s="26">
        <f>(TCO!D$12*(1+$W$5))+TCO!D$13</f>
        <v>1026374.9999999999</v>
      </c>
      <c r="D4" s="34">
        <f>C4-B4</f>
        <v>1026374.9999999999</v>
      </c>
      <c r="E4" s="27">
        <f>TCO!D22+TCO!D23</f>
        <v>0</v>
      </c>
      <c r="F4" s="26">
        <f>(TCO!D$7*(1+$W$5))+TCO!D$8</f>
        <v>298728</v>
      </c>
      <c r="G4" s="34">
        <f>F4-E4</f>
        <v>298728</v>
      </c>
      <c r="H4" s="26">
        <f>TCO!D24+TCO!D25</f>
        <v>0</v>
      </c>
      <c r="I4" s="26">
        <f>(TCO!D$9*(1+$W$5))+TCO!D$10</f>
        <v>982524.89999999991</v>
      </c>
      <c r="J4" s="34">
        <f>I4-H4</f>
        <v>982524.89999999991</v>
      </c>
      <c r="K4" s="27">
        <v>0</v>
      </c>
      <c r="L4" s="27">
        <f>TCO!D11</f>
        <v>0</v>
      </c>
      <c r="M4" s="34">
        <f>L4-K4</f>
        <v>0</v>
      </c>
      <c r="N4" s="27">
        <v>0</v>
      </c>
      <c r="O4" s="27">
        <f>TCO!D14</f>
        <v>57927</v>
      </c>
      <c r="P4" s="34">
        <f>O4-N4</f>
        <v>57927</v>
      </c>
      <c r="Q4" s="27">
        <f>'Parametre - Agendové IS'!D106</f>
        <v>0</v>
      </c>
      <c r="R4" s="27">
        <f>'Parametre - Agendové IS'!E106</f>
        <v>0</v>
      </c>
      <c r="S4" s="34">
        <f t="shared" ref="S4:S13" si="0">IF(ISERR(R4-Q4),"-",R4-Q4)</f>
        <v>0</v>
      </c>
      <c r="T4" s="26">
        <f>SUM(B4,E4,H4,K4,N4,Q4)</f>
        <v>0</v>
      </c>
      <c r="U4" s="26">
        <f>((C4+F4+L4+O4+I4)*(1+$W$4))+R4</f>
        <v>2365554.9</v>
      </c>
      <c r="V4" s="34">
        <f>U4-T4</f>
        <v>2365554.9</v>
      </c>
      <c r="W4" s="215">
        <f>'Analyza citlivosti - AgendovéIS'!B7</f>
        <v>0</v>
      </c>
    </row>
    <row r="5" spans="1:23" ht="16">
      <c r="A5" s="25" t="s">
        <v>26</v>
      </c>
      <c r="B5" s="26">
        <f>TCO!E26+TCO!E27</f>
        <v>0</v>
      </c>
      <c r="C5" s="26">
        <f>(TCO!E$12*(1+$W$5))+TCO!E$13</f>
        <v>0</v>
      </c>
      <c r="D5" s="29">
        <f t="shared" ref="D5:D13" si="1">C5-B5</f>
        <v>0</v>
      </c>
      <c r="E5" s="27">
        <f>TCO!E22+TCO!E23</f>
        <v>0</v>
      </c>
      <c r="F5" s="26">
        <f>(TCO!E$7*(1+$W$5))+TCO!E$8</f>
        <v>0</v>
      </c>
      <c r="G5" s="29">
        <f t="shared" ref="G5:G13" si="2">F5-E5</f>
        <v>0</v>
      </c>
      <c r="H5" s="26">
        <f>TCO!E24+TCO!E25</f>
        <v>0</v>
      </c>
      <c r="I5" s="26">
        <f>(TCO!E$9*(1+$W$5))+TCO!E$10</f>
        <v>254646</v>
      </c>
      <c r="J5" s="29">
        <f t="shared" ref="J5:J13" si="3">I5-H5</f>
        <v>254646</v>
      </c>
      <c r="K5" s="27">
        <v>0</v>
      </c>
      <c r="L5" s="27">
        <f>TCO!E11</f>
        <v>0</v>
      </c>
      <c r="M5" s="29">
        <f t="shared" ref="M5:M13" si="4">L5-K5</f>
        <v>0</v>
      </c>
      <c r="N5" s="27">
        <v>0</v>
      </c>
      <c r="O5" s="27">
        <f>TCO!E14</f>
        <v>57927</v>
      </c>
      <c r="P5" s="29">
        <f t="shared" ref="P5:P13" si="5">O5-N5</f>
        <v>57927</v>
      </c>
      <c r="Q5" s="27">
        <f>'Parametre - Agendové IS'!D107</f>
        <v>0</v>
      </c>
      <c r="R5" s="27">
        <f>'Parametre - Agendové IS'!E107</f>
        <v>0</v>
      </c>
      <c r="S5" s="29">
        <f t="shared" si="0"/>
        <v>0</v>
      </c>
      <c r="T5" s="26">
        <f t="shared" ref="T5:T13" si="6">SUM(B5,E5,H5,K5,N5,Q5)</f>
        <v>0</v>
      </c>
      <c r="U5" s="26">
        <f t="shared" ref="U5:U13" si="7">((C5+F5+L5+O5+I5)*(1+$W$4))+R5</f>
        <v>312573</v>
      </c>
      <c r="V5" s="29">
        <f t="shared" ref="V5:V13" si="8">U5-T5</f>
        <v>312573</v>
      </c>
      <c r="W5" s="215">
        <f>'Analyza citlivosti - AgendovéIS'!E7</f>
        <v>0</v>
      </c>
    </row>
    <row r="6" spans="1:23" ht="16">
      <c r="A6" s="25" t="s">
        <v>27</v>
      </c>
      <c r="B6" s="26">
        <f>TCO!F26+TCO!F27</f>
        <v>0</v>
      </c>
      <c r="C6" s="26">
        <f>(TCO!F$12*(1+$W$5))+TCO!F$13</f>
        <v>0</v>
      </c>
      <c r="D6" s="29">
        <f t="shared" si="1"/>
        <v>0</v>
      </c>
      <c r="E6" s="27">
        <f>TCO!F22+TCO!F23</f>
        <v>0</v>
      </c>
      <c r="F6" s="26">
        <f>(TCO!F$7*(1+$W$5))+TCO!F$8</f>
        <v>0</v>
      </c>
      <c r="G6" s="29">
        <f t="shared" si="2"/>
        <v>0</v>
      </c>
      <c r="H6" s="26">
        <f>TCO!F24+TCO!F25</f>
        <v>0</v>
      </c>
      <c r="I6" s="26">
        <f>(TCO!F$9*(1+$W$5))+TCO!F$10</f>
        <v>393120</v>
      </c>
      <c r="J6" s="29">
        <f t="shared" si="3"/>
        <v>393120</v>
      </c>
      <c r="K6" s="27">
        <v>0</v>
      </c>
      <c r="L6" s="27">
        <f>TCO!F11</f>
        <v>0</v>
      </c>
      <c r="M6" s="29">
        <f t="shared" si="4"/>
        <v>0</v>
      </c>
      <c r="N6" s="27">
        <v>0</v>
      </c>
      <c r="O6" s="27">
        <f>TCO!F14</f>
        <v>57927</v>
      </c>
      <c r="P6" s="29">
        <f t="shared" si="5"/>
        <v>57927</v>
      </c>
      <c r="Q6" s="27">
        <f>'Parametre - Agendové IS'!D108</f>
        <v>0</v>
      </c>
      <c r="R6" s="27">
        <f>'Parametre - Agendové IS'!E108</f>
        <v>0</v>
      </c>
      <c r="S6" s="29">
        <f t="shared" si="0"/>
        <v>0</v>
      </c>
      <c r="T6" s="26">
        <f t="shared" si="6"/>
        <v>0</v>
      </c>
      <c r="U6" s="26">
        <f t="shared" si="7"/>
        <v>451047</v>
      </c>
      <c r="V6" s="29">
        <f t="shared" si="8"/>
        <v>451047</v>
      </c>
    </row>
    <row r="7" spans="1:23" ht="16">
      <c r="A7" s="25" t="s">
        <v>28</v>
      </c>
      <c r="B7" s="26">
        <f>TCO!G26+TCO!G27</f>
        <v>0</v>
      </c>
      <c r="C7" s="26">
        <f>(TCO!G$12*(1+$W$5))+TCO!G$13</f>
        <v>15000</v>
      </c>
      <c r="D7" s="29">
        <f t="shared" si="1"/>
        <v>15000</v>
      </c>
      <c r="E7" s="27">
        <f>TCO!G22+TCO!G23</f>
        <v>0</v>
      </c>
      <c r="F7" s="26">
        <f>(TCO!G$7*(1+$W$5))+TCO!G$8</f>
        <v>99576</v>
      </c>
      <c r="G7" s="29">
        <f t="shared" si="2"/>
        <v>99576</v>
      </c>
      <c r="H7" s="26">
        <f>TCO!G24+TCO!G25</f>
        <v>0</v>
      </c>
      <c r="I7" s="26">
        <f>(TCO!G$9*(1+$W$5))+TCO!G$10</f>
        <v>43179.885000000002</v>
      </c>
      <c r="J7" s="29">
        <f t="shared" si="3"/>
        <v>43179.885000000002</v>
      </c>
      <c r="K7" s="27">
        <v>0</v>
      </c>
      <c r="L7" s="27">
        <f>TCO!G11</f>
        <v>0</v>
      </c>
      <c r="M7" s="29">
        <f t="shared" si="4"/>
        <v>0</v>
      </c>
      <c r="N7" s="27">
        <v>0</v>
      </c>
      <c r="O7" s="27">
        <f>TCO!G14</f>
        <v>0</v>
      </c>
      <c r="P7" s="29">
        <f t="shared" si="5"/>
        <v>0</v>
      </c>
      <c r="Q7" s="27">
        <f>'Parametre - Agendové IS'!D109</f>
        <v>0</v>
      </c>
      <c r="R7" s="27">
        <f>'Parametre - Agendové IS'!E109</f>
        <v>0</v>
      </c>
      <c r="S7" s="29">
        <f t="shared" si="0"/>
        <v>0</v>
      </c>
      <c r="T7" s="26">
        <f t="shared" si="6"/>
        <v>0</v>
      </c>
      <c r="U7" s="26">
        <f t="shared" si="7"/>
        <v>157755.88500000001</v>
      </c>
      <c r="V7" s="29">
        <f t="shared" si="8"/>
        <v>157755.88500000001</v>
      </c>
    </row>
    <row r="8" spans="1:23" ht="16">
      <c r="A8" s="25" t="s">
        <v>29</v>
      </c>
      <c r="B8" s="26">
        <f>TCO!H26+TCO!H27</f>
        <v>0</v>
      </c>
      <c r="C8" s="26">
        <f>(TCO!H$12*(1+$W$5))+TCO!H$13</f>
        <v>15000</v>
      </c>
      <c r="D8" s="29">
        <f t="shared" si="1"/>
        <v>15000</v>
      </c>
      <c r="E8" s="27">
        <f>TCO!H22+TCO!H23</f>
        <v>0</v>
      </c>
      <c r="F8" s="26">
        <f>(TCO!H$7*(1+$W$5))+TCO!H$8</f>
        <v>99576</v>
      </c>
      <c r="G8" s="29">
        <f t="shared" si="2"/>
        <v>99576</v>
      </c>
      <c r="H8" s="26">
        <f>TCO!H24+TCO!H25</f>
        <v>0</v>
      </c>
      <c r="I8" s="26">
        <f>(TCO!H$9*(1+$W$5))+TCO!H$10</f>
        <v>43179.885000000002</v>
      </c>
      <c r="J8" s="29">
        <f t="shared" si="3"/>
        <v>43179.885000000002</v>
      </c>
      <c r="K8" s="27">
        <v>0</v>
      </c>
      <c r="L8" s="27">
        <f>TCO!H11</f>
        <v>0</v>
      </c>
      <c r="M8" s="29">
        <f t="shared" si="4"/>
        <v>0</v>
      </c>
      <c r="N8" s="27">
        <v>0</v>
      </c>
      <c r="O8" s="27">
        <f>TCO!H14</f>
        <v>0</v>
      </c>
      <c r="P8" s="29">
        <f t="shared" si="5"/>
        <v>0</v>
      </c>
      <c r="Q8" s="27">
        <f>'Parametre - Agendové IS'!D110</f>
        <v>0</v>
      </c>
      <c r="R8" s="27">
        <f>'Parametre - Agendové IS'!E110</f>
        <v>0</v>
      </c>
      <c r="S8" s="29">
        <f t="shared" si="0"/>
        <v>0</v>
      </c>
      <c r="T8" s="26">
        <f t="shared" si="6"/>
        <v>0</v>
      </c>
      <c r="U8" s="26">
        <f t="shared" si="7"/>
        <v>157755.88500000001</v>
      </c>
      <c r="V8" s="29">
        <f t="shared" si="8"/>
        <v>157755.88500000001</v>
      </c>
    </row>
    <row r="9" spans="1:23" ht="16">
      <c r="A9" s="25" t="s">
        <v>30</v>
      </c>
      <c r="B9" s="26">
        <f>TCO!I26+TCO!I27</f>
        <v>0</v>
      </c>
      <c r="C9" s="26">
        <f>(TCO!I$12*(1+$W$5))+TCO!I$13</f>
        <v>15000</v>
      </c>
      <c r="D9" s="29">
        <f t="shared" si="1"/>
        <v>15000</v>
      </c>
      <c r="E9" s="27">
        <f>TCO!I22+TCO!I23</f>
        <v>0</v>
      </c>
      <c r="F9" s="26">
        <f>(TCO!I$7*(1+$W$5))+TCO!I$8</f>
        <v>99576</v>
      </c>
      <c r="G9" s="29">
        <f t="shared" si="2"/>
        <v>99576</v>
      </c>
      <c r="H9" s="26">
        <f>TCO!I24+TCO!I25</f>
        <v>0</v>
      </c>
      <c r="I9" s="26">
        <f>(TCO!I$9*(1+$W$5))+TCO!I$10</f>
        <v>43179.885000000002</v>
      </c>
      <c r="J9" s="29">
        <f t="shared" si="3"/>
        <v>43179.885000000002</v>
      </c>
      <c r="K9" s="27">
        <v>0</v>
      </c>
      <c r="L9" s="27">
        <f>TCO!I11</f>
        <v>0</v>
      </c>
      <c r="M9" s="29">
        <f t="shared" si="4"/>
        <v>0</v>
      </c>
      <c r="N9" s="27">
        <v>0</v>
      </c>
      <c r="O9" s="27">
        <f>TCO!I14</f>
        <v>0</v>
      </c>
      <c r="P9" s="29">
        <f t="shared" si="5"/>
        <v>0</v>
      </c>
      <c r="Q9" s="27">
        <f>'Parametre - Agendové IS'!D111</f>
        <v>0</v>
      </c>
      <c r="R9" s="27">
        <f>'Parametre - Agendové IS'!E111</f>
        <v>0</v>
      </c>
      <c r="S9" s="29">
        <f t="shared" si="0"/>
        <v>0</v>
      </c>
      <c r="T9" s="26">
        <f t="shared" si="6"/>
        <v>0</v>
      </c>
      <c r="U9" s="26">
        <f t="shared" si="7"/>
        <v>157755.88500000001</v>
      </c>
      <c r="V9" s="29">
        <f t="shared" si="8"/>
        <v>157755.88500000001</v>
      </c>
    </row>
    <row r="10" spans="1:23" ht="16">
      <c r="A10" s="25" t="s">
        <v>31</v>
      </c>
      <c r="B10" s="26">
        <f>TCO!J26+TCO!J27</f>
        <v>0</v>
      </c>
      <c r="C10" s="26">
        <f>(TCO!J$12*(1+$W$5))+TCO!J$13</f>
        <v>15000</v>
      </c>
      <c r="D10" s="29">
        <f t="shared" si="1"/>
        <v>15000</v>
      </c>
      <c r="E10" s="27">
        <f>TCO!J22+TCO!J23</f>
        <v>0</v>
      </c>
      <c r="F10" s="26">
        <f>(TCO!J$7*(1+$W$5))+TCO!J$8</f>
        <v>99576</v>
      </c>
      <c r="G10" s="29">
        <f t="shared" si="2"/>
        <v>99576</v>
      </c>
      <c r="H10" s="26">
        <f>TCO!J24+TCO!J25</f>
        <v>0</v>
      </c>
      <c r="I10" s="26">
        <f>(TCO!J$9*(1+$W$5))+TCO!J$10</f>
        <v>43179.885000000002</v>
      </c>
      <c r="J10" s="29">
        <f t="shared" si="3"/>
        <v>43179.885000000002</v>
      </c>
      <c r="K10" s="27">
        <v>0</v>
      </c>
      <c r="L10" s="27">
        <f>TCO!J11</f>
        <v>0</v>
      </c>
      <c r="M10" s="29">
        <f t="shared" si="4"/>
        <v>0</v>
      </c>
      <c r="N10" s="27">
        <v>0</v>
      </c>
      <c r="O10" s="27">
        <f>TCO!J14</f>
        <v>0</v>
      </c>
      <c r="P10" s="29">
        <f t="shared" si="5"/>
        <v>0</v>
      </c>
      <c r="Q10" s="27">
        <f>'Parametre - Agendové IS'!D112</f>
        <v>0</v>
      </c>
      <c r="R10" s="27">
        <f>'Parametre - Agendové IS'!E112</f>
        <v>0</v>
      </c>
      <c r="S10" s="29">
        <f t="shared" si="0"/>
        <v>0</v>
      </c>
      <c r="T10" s="26">
        <f t="shared" si="6"/>
        <v>0</v>
      </c>
      <c r="U10" s="26">
        <f t="shared" si="7"/>
        <v>157755.88500000001</v>
      </c>
      <c r="V10" s="29">
        <f t="shared" si="8"/>
        <v>157755.88500000001</v>
      </c>
    </row>
    <row r="11" spans="1:23" ht="16">
      <c r="A11" s="25" t="s">
        <v>32</v>
      </c>
      <c r="B11" s="26">
        <f>TCO!K26+TCO!K27</f>
        <v>0</v>
      </c>
      <c r="C11" s="26">
        <f>(TCO!K$12*(1+$W$5))+TCO!K$13</f>
        <v>15000</v>
      </c>
      <c r="D11" s="29">
        <f t="shared" si="1"/>
        <v>15000</v>
      </c>
      <c r="E11" s="27">
        <f>TCO!K22+TCO!K23</f>
        <v>0</v>
      </c>
      <c r="F11" s="26">
        <f>(TCO!K$7*(1+$W$5))+TCO!K$8</f>
        <v>99576</v>
      </c>
      <c r="G11" s="29">
        <f t="shared" si="2"/>
        <v>99576</v>
      </c>
      <c r="H11" s="26">
        <f>TCO!K24+TCO!K25</f>
        <v>0</v>
      </c>
      <c r="I11" s="26">
        <f>(TCO!K$9*(1+$W$5))+TCO!K$10</f>
        <v>43179.885000000002</v>
      </c>
      <c r="J11" s="29">
        <f t="shared" si="3"/>
        <v>43179.885000000002</v>
      </c>
      <c r="K11" s="27">
        <v>0</v>
      </c>
      <c r="L11" s="27">
        <f>TCO!K11</f>
        <v>0</v>
      </c>
      <c r="M11" s="29">
        <f t="shared" si="4"/>
        <v>0</v>
      </c>
      <c r="N11" s="27">
        <v>0</v>
      </c>
      <c r="O11" s="27">
        <f>TCO!K14</f>
        <v>0</v>
      </c>
      <c r="P11" s="29">
        <f t="shared" si="5"/>
        <v>0</v>
      </c>
      <c r="Q11" s="27">
        <f>'Parametre - Agendové IS'!D113</f>
        <v>0</v>
      </c>
      <c r="R11" s="27">
        <f>'Parametre - Agendové IS'!E113</f>
        <v>0</v>
      </c>
      <c r="S11" s="29">
        <f t="shared" si="0"/>
        <v>0</v>
      </c>
      <c r="T11" s="26">
        <f t="shared" si="6"/>
        <v>0</v>
      </c>
      <c r="U11" s="26">
        <f t="shared" si="7"/>
        <v>157755.88500000001</v>
      </c>
      <c r="V11" s="29">
        <f t="shared" si="8"/>
        <v>157755.88500000001</v>
      </c>
    </row>
    <row r="12" spans="1:23" ht="16">
      <c r="A12" s="25" t="s">
        <v>33</v>
      </c>
      <c r="B12" s="26">
        <f>TCO!L26+TCO!L27</f>
        <v>0</v>
      </c>
      <c r="C12" s="26">
        <f>(TCO!L$12*(1+$W$5))+TCO!L$13</f>
        <v>15000</v>
      </c>
      <c r="D12" s="29">
        <f t="shared" si="1"/>
        <v>15000</v>
      </c>
      <c r="E12" s="27">
        <f>TCO!L22+TCO!L23</f>
        <v>0</v>
      </c>
      <c r="F12" s="26">
        <f>(TCO!L$7*(1+$W$5))+TCO!L$8</f>
        <v>99576</v>
      </c>
      <c r="G12" s="29">
        <f t="shared" si="2"/>
        <v>99576</v>
      </c>
      <c r="H12" s="26">
        <f>TCO!L24+TCO!L25</f>
        <v>0</v>
      </c>
      <c r="I12" s="26">
        <f>(TCO!L$9*(1+$W$5))+TCO!L$10</f>
        <v>43179.885000000002</v>
      </c>
      <c r="J12" s="29">
        <f t="shared" si="3"/>
        <v>43179.885000000002</v>
      </c>
      <c r="K12" s="27">
        <v>0</v>
      </c>
      <c r="L12" s="27">
        <f>TCO!L11</f>
        <v>0</v>
      </c>
      <c r="M12" s="29">
        <f t="shared" si="4"/>
        <v>0</v>
      </c>
      <c r="N12" s="27">
        <v>0</v>
      </c>
      <c r="O12" s="27">
        <f>TCO!L14</f>
        <v>0</v>
      </c>
      <c r="P12" s="29">
        <f t="shared" si="5"/>
        <v>0</v>
      </c>
      <c r="Q12" s="27">
        <f>'Parametre - Agendové IS'!D114</f>
        <v>0</v>
      </c>
      <c r="R12" s="27">
        <f>'Parametre - Agendové IS'!E114</f>
        <v>0</v>
      </c>
      <c r="S12" s="29">
        <f t="shared" si="0"/>
        <v>0</v>
      </c>
      <c r="T12" s="26">
        <f t="shared" si="6"/>
        <v>0</v>
      </c>
      <c r="U12" s="26">
        <f t="shared" si="7"/>
        <v>157755.88500000001</v>
      </c>
      <c r="V12" s="29">
        <f t="shared" si="8"/>
        <v>157755.88500000001</v>
      </c>
    </row>
    <row r="13" spans="1:23" ht="17" thickBot="1">
      <c r="A13" s="39" t="s">
        <v>34</v>
      </c>
      <c r="B13" s="43">
        <f>TCO!M26+TCO!M27</f>
        <v>0</v>
      </c>
      <c r="C13" s="43">
        <f>(TCO!M$12*(1+$W$5))+TCO!M$13</f>
        <v>15000</v>
      </c>
      <c r="D13" s="171">
        <f t="shared" si="1"/>
        <v>15000</v>
      </c>
      <c r="E13" s="47">
        <f>TCO!M22+TCO!M23</f>
        <v>0</v>
      </c>
      <c r="F13" s="43">
        <f>(TCO!M$7*(1+$W$5))+TCO!M$8</f>
        <v>99576</v>
      </c>
      <c r="G13" s="171">
        <f t="shared" si="2"/>
        <v>99576</v>
      </c>
      <c r="H13" s="43">
        <f>TCO!M24+TCO!M25</f>
        <v>0</v>
      </c>
      <c r="I13" s="43">
        <f>(TCO!M$9*(1+$W$5))+TCO!M$10</f>
        <v>43179.885000000002</v>
      </c>
      <c r="J13" s="171">
        <f t="shared" si="3"/>
        <v>43179.885000000002</v>
      </c>
      <c r="K13" s="47">
        <v>0</v>
      </c>
      <c r="L13" s="47">
        <f>TCO!M11</f>
        <v>0</v>
      </c>
      <c r="M13" s="171">
        <f t="shared" si="4"/>
        <v>0</v>
      </c>
      <c r="N13" s="47">
        <v>0</v>
      </c>
      <c r="O13" s="47">
        <f>TCO!M14</f>
        <v>0</v>
      </c>
      <c r="P13" s="171">
        <f t="shared" si="5"/>
        <v>0</v>
      </c>
      <c r="Q13" s="47">
        <f>'Parametre - Agendové IS'!D115</f>
        <v>0</v>
      </c>
      <c r="R13" s="47">
        <f>'Parametre - Agendové IS'!E115</f>
        <v>0</v>
      </c>
      <c r="S13" s="171">
        <f t="shared" si="0"/>
        <v>0</v>
      </c>
      <c r="T13" s="26">
        <f t="shared" si="6"/>
        <v>0</v>
      </c>
      <c r="U13" s="26">
        <f t="shared" si="7"/>
        <v>157755.88500000001</v>
      </c>
      <c r="V13" s="171">
        <f t="shared" si="8"/>
        <v>157755.88500000001</v>
      </c>
    </row>
    <row r="14" spans="1:23" ht="16">
      <c r="A14" s="571" t="s">
        <v>107</v>
      </c>
      <c r="B14" s="562">
        <f>SUM(B4:B13)</f>
        <v>0</v>
      </c>
      <c r="C14" s="560">
        <f t="shared" ref="C14:S14" si="9">SUM(C4:C13)</f>
        <v>1131375</v>
      </c>
      <c r="D14" s="559">
        <f t="shared" si="9"/>
        <v>1131375</v>
      </c>
      <c r="E14" s="562">
        <f t="shared" si="9"/>
        <v>0</v>
      </c>
      <c r="F14" s="560">
        <f t="shared" si="9"/>
        <v>995760</v>
      </c>
      <c r="G14" s="559">
        <f t="shared" si="9"/>
        <v>995760</v>
      </c>
      <c r="H14" s="562">
        <f t="shared" si="9"/>
        <v>0</v>
      </c>
      <c r="I14" s="560">
        <f t="shared" si="9"/>
        <v>1932550.095</v>
      </c>
      <c r="J14" s="559">
        <f t="shared" si="9"/>
        <v>1932550.095</v>
      </c>
      <c r="K14" s="562">
        <f t="shared" ref="K14:P14" si="10">SUM(K4:K13)</f>
        <v>0</v>
      </c>
      <c r="L14" s="560">
        <f t="shared" si="10"/>
        <v>0</v>
      </c>
      <c r="M14" s="559">
        <f t="shared" si="10"/>
        <v>0</v>
      </c>
      <c r="N14" s="562">
        <f t="shared" si="10"/>
        <v>0</v>
      </c>
      <c r="O14" s="560">
        <f t="shared" si="10"/>
        <v>173781</v>
      </c>
      <c r="P14" s="559">
        <f t="shared" si="10"/>
        <v>173781</v>
      </c>
      <c r="Q14" s="562">
        <f t="shared" si="9"/>
        <v>0</v>
      </c>
      <c r="R14" s="560">
        <f t="shared" si="9"/>
        <v>0</v>
      </c>
      <c r="S14" s="559">
        <f t="shared" si="9"/>
        <v>0</v>
      </c>
      <c r="T14" s="572">
        <f>SUM(T4:T13)</f>
        <v>0</v>
      </c>
      <c r="U14" s="573">
        <f>SUM(U4:U13)</f>
        <v>4233466.0949999988</v>
      </c>
      <c r="V14" s="574">
        <f>SUM(V4:V13)</f>
        <v>4233466.0949999988</v>
      </c>
    </row>
    <row r="15" spans="1:23" ht="17" thickBot="1">
      <c r="A15" s="571" t="s">
        <v>159</v>
      </c>
      <c r="B15" s="570"/>
      <c r="C15" s="568"/>
      <c r="D15" s="566">
        <f>D4+NPV(Faktory!$D$5,D5:D13)</f>
        <v>1105101.1686720757</v>
      </c>
      <c r="E15" s="570"/>
      <c r="F15" s="568"/>
      <c r="G15" s="566">
        <f>G4+NPV(Faktory!$D$5,G5:G13)</f>
        <v>821343.79811270756</v>
      </c>
      <c r="H15" s="570"/>
      <c r="I15" s="568"/>
      <c r="J15" s="566">
        <f>J4+NPV(Faktory!$D$5,J5:J13)</f>
        <v>1808242.1225548172</v>
      </c>
      <c r="K15" s="570"/>
      <c r="L15" s="568"/>
      <c r="M15" s="566">
        <f>M4+NPV(Faktory!$D$5,M5:M13)</f>
        <v>0</v>
      </c>
      <c r="N15" s="570"/>
      <c r="O15" s="568"/>
      <c r="P15" s="566">
        <f>P4+NPV(Faktory!$D$5,P5:P13)</f>
        <v>165637.06802721089</v>
      </c>
      <c r="Q15" s="570"/>
      <c r="R15" s="568"/>
      <c r="S15" s="566">
        <f>S4+NPV(Faktory!$D$5,S5:S13)</f>
        <v>0</v>
      </c>
      <c r="T15" s="575"/>
      <c r="U15" s="576"/>
      <c r="V15" s="577">
        <f>V4+NPV(Faktory!$D$5,V5:V13)</f>
        <v>3900324.1573668113</v>
      </c>
    </row>
    <row r="16" spans="1:23">
      <c r="A16" s="136"/>
      <c r="B16" s="136"/>
      <c r="C16" s="136"/>
      <c r="D16" s="151"/>
      <c r="E16" s="136"/>
      <c r="F16" s="136"/>
      <c r="G16" s="151"/>
      <c r="H16" s="136"/>
      <c r="I16" s="136"/>
      <c r="J16" s="151"/>
      <c r="K16" s="151"/>
      <c r="L16" s="151"/>
      <c r="M16" s="151"/>
      <c r="N16" s="151"/>
      <c r="O16" s="151"/>
      <c r="P16" s="151"/>
      <c r="Q16" s="136"/>
      <c r="R16" s="136"/>
      <c r="S16" s="151"/>
      <c r="T16" s="172"/>
      <c r="U16" s="172"/>
      <c r="V16" s="172"/>
    </row>
    <row r="17" spans="1:2">
      <c r="A17" s="105"/>
      <c r="B17" s="106" t="s">
        <v>173</v>
      </c>
    </row>
    <row r="22" spans="1:2">
      <c r="B22" s="173"/>
    </row>
  </sheetData>
  <mergeCells count="10">
    <mergeCell ref="Q1:S1"/>
    <mergeCell ref="T1:V1"/>
    <mergeCell ref="B2:D2"/>
    <mergeCell ref="E2:G2"/>
    <mergeCell ref="H2:J2"/>
    <mergeCell ref="Q2:S2"/>
    <mergeCell ref="N1:P1"/>
    <mergeCell ref="N2:P2"/>
    <mergeCell ref="K2:M2"/>
    <mergeCell ref="B1:M1"/>
  </mergeCells>
  <pageMargins left="0.7" right="0.7" top="0.75" bottom="0.75" header="0.3" footer="0.3"/>
  <pageSetup paperSize="9" scale="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CC"/>
  </sheetPr>
  <dimension ref="A1:J135"/>
  <sheetViews>
    <sheetView view="pageBreakPreview" topLeftCell="A109" zoomScale="110" zoomScaleNormal="80" zoomScaleSheetLayoutView="80" workbookViewId="0">
      <selection activeCell="M59" sqref="M59"/>
    </sheetView>
  </sheetViews>
  <sheetFormatPr baseColWidth="10" defaultColWidth="9.1640625" defaultRowHeight="15"/>
  <cols>
    <col min="1" max="1" width="19.1640625" style="403" customWidth="1"/>
    <col min="2" max="2" width="9.83203125" style="403" bestFit="1" customWidth="1"/>
    <col min="3" max="3" width="8.83203125" style="403" bestFit="1" customWidth="1"/>
    <col min="4" max="4" width="7.83203125" style="403" bestFit="1" customWidth="1"/>
    <col min="5" max="6" width="9.83203125" style="403" bestFit="1" customWidth="1"/>
    <col min="7" max="7" width="11.6640625" style="438" customWidth="1"/>
    <col min="8" max="8" width="11.6640625" style="481" customWidth="1"/>
    <col min="9" max="9" width="14.5" style="438" bestFit="1" customWidth="1"/>
    <col min="10" max="10" width="14.6640625" style="465" customWidth="1"/>
    <col min="11" max="13" width="9.1640625" style="403"/>
    <col min="14" max="14" width="12.5" style="403" bestFit="1" customWidth="1"/>
    <col min="15" max="249" width="9.1640625" style="403"/>
    <col min="250" max="250" width="1.6640625" style="403" customWidth="1"/>
    <col min="251" max="251" width="19.1640625" style="403" customWidth="1"/>
    <col min="252" max="252" width="35.1640625" style="403" customWidth="1"/>
    <col min="253" max="253" width="9.83203125" style="403" bestFit="1" customWidth="1"/>
    <col min="254" max="254" width="8.83203125" style="403" bestFit="1" customWidth="1"/>
    <col min="255" max="265" width="10.33203125" style="403" customWidth="1"/>
    <col min="266" max="505" width="9.1640625" style="403"/>
    <col min="506" max="506" width="1.6640625" style="403" customWidth="1"/>
    <col min="507" max="507" width="19.1640625" style="403" customWidth="1"/>
    <col min="508" max="508" width="35.1640625" style="403" customWidth="1"/>
    <col min="509" max="509" width="9.83203125" style="403" bestFit="1" customWidth="1"/>
    <col min="510" max="510" width="8.83203125" style="403" bestFit="1" customWidth="1"/>
    <col min="511" max="521" width="10.33203125" style="403" customWidth="1"/>
    <col min="522" max="761" width="9.1640625" style="403"/>
    <col min="762" max="762" width="1.6640625" style="403" customWidth="1"/>
    <col min="763" max="763" width="19.1640625" style="403" customWidth="1"/>
    <col min="764" max="764" width="35.1640625" style="403" customWidth="1"/>
    <col min="765" max="765" width="9.83203125" style="403" bestFit="1" customWidth="1"/>
    <col min="766" max="766" width="8.83203125" style="403" bestFit="1" customWidth="1"/>
    <col min="767" max="777" width="10.33203125" style="403" customWidth="1"/>
    <col min="778" max="1017" width="9.1640625" style="403"/>
    <col min="1018" max="1018" width="1.6640625" style="403" customWidth="1"/>
    <col min="1019" max="1019" width="19.1640625" style="403" customWidth="1"/>
    <col min="1020" max="1020" width="35.1640625" style="403" customWidth="1"/>
    <col min="1021" max="1021" width="9.83203125" style="403" bestFit="1" customWidth="1"/>
    <col min="1022" max="1022" width="8.83203125" style="403" bestFit="1" customWidth="1"/>
    <col min="1023" max="1033" width="10.33203125" style="403" customWidth="1"/>
    <col min="1034" max="1273" width="9.1640625" style="403"/>
    <col min="1274" max="1274" width="1.6640625" style="403" customWidth="1"/>
    <col min="1275" max="1275" width="19.1640625" style="403" customWidth="1"/>
    <col min="1276" max="1276" width="35.1640625" style="403" customWidth="1"/>
    <col min="1277" max="1277" width="9.83203125" style="403" bestFit="1" customWidth="1"/>
    <col min="1278" max="1278" width="8.83203125" style="403" bestFit="1" customWidth="1"/>
    <col min="1279" max="1289" width="10.33203125" style="403" customWidth="1"/>
    <col min="1290" max="1529" width="9.1640625" style="403"/>
    <col min="1530" max="1530" width="1.6640625" style="403" customWidth="1"/>
    <col min="1531" max="1531" width="19.1640625" style="403" customWidth="1"/>
    <col min="1532" max="1532" width="35.1640625" style="403" customWidth="1"/>
    <col min="1533" max="1533" width="9.83203125" style="403" bestFit="1" customWidth="1"/>
    <col min="1534" max="1534" width="8.83203125" style="403" bestFit="1" customWidth="1"/>
    <col min="1535" max="1545" width="10.33203125" style="403" customWidth="1"/>
    <col min="1546" max="1785" width="9.1640625" style="403"/>
    <col min="1786" max="1786" width="1.6640625" style="403" customWidth="1"/>
    <col min="1787" max="1787" width="19.1640625" style="403" customWidth="1"/>
    <col min="1788" max="1788" width="35.1640625" style="403" customWidth="1"/>
    <col min="1789" max="1789" width="9.83203125" style="403" bestFit="1" customWidth="1"/>
    <col min="1790" max="1790" width="8.83203125" style="403" bestFit="1" customWidth="1"/>
    <col min="1791" max="1801" width="10.33203125" style="403" customWidth="1"/>
    <col min="1802" max="2041" width="9.1640625" style="403"/>
    <col min="2042" max="2042" width="1.6640625" style="403" customWidth="1"/>
    <col min="2043" max="2043" width="19.1640625" style="403" customWidth="1"/>
    <col min="2044" max="2044" width="35.1640625" style="403" customWidth="1"/>
    <col min="2045" max="2045" width="9.83203125" style="403" bestFit="1" customWidth="1"/>
    <col min="2046" max="2046" width="8.83203125" style="403" bestFit="1" customWidth="1"/>
    <col min="2047" max="2057" width="10.33203125" style="403" customWidth="1"/>
    <col min="2058" max="2297" width="9.1640625" style="403"/>
    <col min="2298" max="2298" width="1.6640625" style="403" customWidth="1"/>
    <col min="2299" max="2299" width="19.1640625" style="403" customWidth="1"/>
    <col min="2300" max="2300" width="35.1640625" style="403" customWidth="1"/>
    <col min="2301" max="2301" width="9.83203125" style="403" bestFit="1" customWidth="1"/>
    <col min="2302" max="2302" width="8.83203125" style="403" bestFit="1" customWidth="1"/>
    <col min="2303" max="2313" width="10.33203125" style="403" customWidth="1"/>
    <col min="2314" max="2553" width="9.1640625" style="403"/>
    <col min="2554" max="2554" width="1.6640625" style="403" customWidth="1"/>
    <col min="2555" max="2555" width="19.1640625" style="403" customWidth="1"/>
    <col min="2556" max="2556" width="35.1640625" style="403" customWidth="1"/>
    <col min="2557" max="2557" width="9.83203125" style="403" bestFit="1" customWidth="1"/>
    <col min="2558" max="2558" width="8.83203125" style="403" bestFit="1" customWidth="1"/>
    <col min="2559" max="2569" width="10.33203125" style="403" customWidth="1"/>
    <col min="2570" max="2809" width="9.1640625" style="403"/>
    <col min="2810" max="2810" width="1.6640625" style="403" customWidth="1"/>
    <col min="2811" max="2811" width="19.1640625" style="403" customWidth="1"/>
    <col min="2812" max="2812" width="35.1640625" style="403" customWidth="1"/>
    <col min="2813" max="2813" width="9.83203125" style="403" bestFit="1" customWidth="1"/>
    <col min="2814" max="2814" width="8.83203125" style="403" bestFit="1" customWidth="1"/>
    <col min="2815" max="2825" width="10.33203125" style="403" customWidth="1"/>
    <col min="2826" max="3065" width="9.1640625" style="403"/>
    <col min="3066" max="3066" width="1.6640625" style="403" customWidth="1"/>
    <col min="3067" max="3067" width="19.1640625" style="403" customWidth="1"/>
    <col min="3068" max="3068" width="35.1640625" style="403" customWidth="1"/>
    <col min="3069" max="3069" width="9.83203125" style="403" bestFit="1" customWidth="1"/>
    <col min="3070" max="3070" width="8.83203125" style="403" bestFit="1" customWidth="1"/>
    <col min="3071" max="3081" width="10.33203125" style="403" customWidth="1"/>
    <col min="3082" max="3321" width="9.1640625" style="403"/>
    <col min="3322" max="3322" width="1.6640625" style="403" customWidth="1"/>
    <col min="3323" max="3323" width="19.1640625" style="403" customWidth="1"/>
    <col min="3324" max="3324" width="35.1640625" style="403" customWidth="1"/>
    <col min="3325" max="3325" width="9.83203125" style="403" bestFit="1" customWidth="1"/>
    <col min="3326" max="3326" width="8.83203125" style="403" bestFit="1" customWidth="1"/>
    <col min="3327" max="3337" width="10.33203125" style="403" customWidth="1"/>
    <col min="3338" max="3577" width="9.1640625" style="403"/>
    <col min="3578" max="3578" width="1.6640625" style="403" customWidth="1"/>
    <col min="3579" max="3579" width="19.1640625" style="403" customWidth="1"/>
    <col min="3580" max="3580" width="35.1640625" style="403" customWidth="1"/>
    <col min="3581" max="3581" width="9.83203125" style="403" bestFit="1" customWidth="1"/>
    <col min="3582" max="3582" width="8.83203125" style="403" bestFit="1" customWidth="1"/>
    <col min="3583" max="3593" width="10.33203125" style="403" customWidth="1"/>
    <col min="3594" max="3833" width="9.1640625" style="403"/>
    <col min="3834" max="3834" width="1.6640625" style="403" customWidth="1"/>
    <col min="3835" max="3835" width="19.1640625" style="403" customWidth="1"/>
    <col min="3836" max="3836" width="35.1640625" style="403" customWidth="1"/>
    <col min="3837" max="3837" width="9.83203125" style="403" bestFit="1" customWidth="1"/>
    <col min="3838" max="3838" width="8.83203125" style="403" bestFit="1" customWidth="1"/>
    <col min="3839" max="3849" width="10.33203125" style="403" customWidth="1"/>
    <col min="3850" max="4089" width="9.1640625" style="403"/>
    <col min="4090" max="4090" width="1.6640625" style="403" customWidth="1"/>
    <col min="4091" max="4091" width="19.1640625" style="403" customWidth="1"/>
    <col min="4092" max="4092" width="35.1640625" style="403" customWidth="1"/>
    <col min="4093" max="4093" width="9.83203125" style="403" bestFit="1" customWidth="1"/>
    <col min="4094" max="4094" width="8.83203125" style="403" bestFit="1" customWidth="1"/>
    <col min="4095" max="4105" width="10.33203125" style="403" customWidth="1"/>
    <col min="4106" max="4345" width="9.1640625" style="403"/>
    <col min="4346" max="4346" width="1.6640625" style="403" customWidth="1"/>
    <col min="4347" max="4347" width="19.1640625" style="403" customWidth="1"/>
    <col min="4348" max="4348" width="35.1640625" style="403" customWidth="1"/>
    <col min="4349" max="4349" width="9.83203125" style="403" bestFit="1" customWidth="1"/>
    <col min="4350" max="4350" width="8.83203125" style="403" bestFit="1" customWidth="1"/>
    <col min="4351" max="4361" width="10.33203125" style="403" customWidth="1"/>
    <col min="4362" max="4601" width="9.1640625" style="403"/>
    <col min="4602" max="4602" width="1.6640625" style="403" customWidth="1"/>
    <col min="4603" max="4603" width="19.1640625" style="403" customWidth="1"/>
    <col min="4604" max="4604" width="35.1640625" style="403" customWidth="1"/>
    <col min="4605" max="4605" width="9.83203125" style="403" bestFit="1" customWidth="1"/>
    <col min="4606" max="4606" width="8.83203125" style="403" bestFit="1" customWidth="1"/>
    <col min="4607" max="4617" width="10.33203125" style="403" customWidth="1"/>
    <col min="4618" max="4857" width="9.1640625" style="403"/>
    <col min="4858" max="4858" width="1.6640625" style="403" customWidth="1"/>
    <col min="4859" max="4859" width="19.1640625" style="403" customWidth="1"/>
    <col min="4860" max="4860" width="35.1640625" style="403" customWidth="1"/>
    <col min="4861" max="4861" width="9.83203125" style="403" bestFit="1" customWidth="1"/>
    <col min="4862" max="4862" width="8.83203125" style="403" bestFit="1" customWidth="1"/>
    <col min="4863" max="4873" width="10.33203125" style="403" customWidth="1"/>
    <col min="4874" max="5113" width="9.1640625" style="403"/>
    <col min="5114" max="5114" width="1.6640625" style="403" customWidth="1"/>
    <col min="5115" max="5115" width="19.1640625" style="403" customWidth="1"/>
    <col min="5116" max="5116" width="35.1640625" style="403" customWidth="1"/>
    <col min="5117" max="5117" width="9.83203125" style="403" bestFit="1" customWidth="1"/>
    <col min="5118" max="5118" width="8.83203125" style="403" bestFit="1" customWidth="1"/>
    <col min="5119" max="5129" width="10.33203125" style="403" customWidth="1"/>
    <col min="5130" max="5369" width="9.1640625" style="403"/>
    <col min="5370" max="5370" width="1.6640625" style="403" customWidth="1"/>
    <col min="5371" max="5371" width="19.1640625" style="403" customWidth="1"/>
    <col min="5372" max="5372" width="35.1640625" style="403" customWidth="1"/>
    <col min="5373" max="5373" width="9.83203125" style="403" bestFit="1" customWidth="1"/>
    <col min="5374" max="5374" width="8.83203125" style="403" bestFit="1" customWidth="1"/>
    <col min="5375" max="5385" width="10.33203125" style="403" customWidth="1"/>
    <col min="5386" max="5625" width="9.1640625" style="403"/>
    <col min="5626" max="5626" width="1.6640625" style="403" customWidth="1"/>
    <col min="5627" max="5627" width="19.1640625" style="403" customWidth="1"/>
    <col min="5628" max="5628" width="35.1640625" style="403" customWidth="1"/>
    <col min="5629" max="5629" width="9.83203125" style="403" bestFit="1" customWidth="1"/>
    <col min="5630" max="5630" width="8.83203125" style="403" bestFit="1" customWidth="1"/>
    <col min="5631" max="5641" width="10.33203125" style="403" customWidth="1"/>
    <col min="5642" max="5881" width="9.1640625" style="403"/>
    <col min="5882" max="5882" width="1.6640625" style="403" customWidth="1"/>
    <col min="5883" max="5883" width="19.1640625" style="403" customWidth="1"/>
    <col min="5884" max="5884" width="35.1640625" style="403" customWidth="1"/>
    <col min="5885" max="5885" width="9.83203125" style="403" bestFit="1" customWidth="1"/>
    <col min="5886" max="5886" width="8.83203125" style="403" bestFit="1" customWidth="1"/>
    <col min="5887" max="5897" width="10.33203125" style="403" customWidth="1"/>
    <col min="5898" max="6137" width="9.1640625" style="403"/>
    <col min="6138" max="6138" width="1.6640625" style="403" customWidth="1"/>
    <col min="6139" max="6139" width="19.1640625" style="403" customWidth="1"/>
    <col min="6140" max="6140" width="35.1640625" style="403" customWidth="1"/>
    <col min="6141" max="6141" width="9.83203125" style="403" bestFit="1" customWidth="1"/>
    <col min="6142" max="6142" width="8.83203125" style="403" bestFit="1" customWidth="1"/>
    <col min="6143" max="6153" width="10.33203125" style="403" customWidth="1"/>
    <col min="6154" max="6393" width="9.1640625" style="403"/>
    <col min="6394" max="6394" width="1.6640625" style="403" customWidth="1"/>
    <col min="6395" max="6395" width="19.1640625" style="403" customWidth="1"/>
    <col min="6396" max="6396" width="35.1640625" style="403" customWidth="1"/>
    <col min="6397" max="6397" width="9.83203125" style="403" bestFit="1" customWidth="1"/>
    <col min="6398" max="6398" width="8.83203125" style="403" bestFit="1" customWidth="1"/>
    <col min="6399" max="6409" width="10.33203125" style="403" customWidth="1"/>
    <col min="6410" max="6649" width="9.1640625" style="403"/>
    <col min="6650" max="6650" width="1.6640625" style="403" customWidth="1"/>
    <col min="6651" max="6651" width="19.1640625" style="403" customWidth="1"/>
    <col min="6652" max="6652" width="35.1640625" style="403" customWidth="1"/>
    <col min="6653" max="6653" width="9.83203125" style="403" bestFit="1" customWidth="1"/>
    <col min="6654" max="6654" width="8.83203125" style="403" bestFit="1" customWidth="1"/>
    <col min="6655" max="6665" width="10.33203125" style="403" customWidth="1"/>
    <col min="6666" max="6905" width="9.1640625" style="403"/>
    <col min="6906" max="6906" width="1.6640625" style="403" customWidth="1"/>
    <col min="6907" max="6907" width="19.1640625" style="403" customWidth="1"/>
    <col min="6908" max="6908" width="35.1640625" style="403" customWidth="1"/>
    <col min="6909" max="6909" width="9.83203125" style="403" bestFit="1" customWidth="1"/>
    <col min="6910" max="6910" width="8.83203125" style="403" bestFit="1" customWidth="1"/>
    <col min="6911" max="6921" width="10.33203125" style="403" customWidth="1"/>
    <col min="6922" max="7161" width="9.1640625" style="403"/>
    <col min="7162" max="7162" width="1.6640625" style="403" customWidth="1"/>
    <col min="7163" max="7163" width="19.1640625" style="403" customWidth="1"/>
    <col min="7164" max="7164" width="35.1640625" style="403" customWidth="1"/>
    <col min="7165" max="7165" width="9.83203125" style="403" bestFit="1" customWidth="1"/>
    <col min="7166" max="7166" width="8.83203125" style="403" bestFit="1" customWidth="1"/>
    <col min="7167" max="7177" width="10.33203125" style="403" customWidth="1"/>
    <col min="7178" max="7417" width="9.1640625" style="403"/>
    <col min="7418" max="7418" width="1.6640625" style="403" customWidth="1"/>
    <col min="7419" max="7419" width="19.1640625" style="403" customWidth="1"/>
    <col min="7420" max="7420" width="35.1640625" style="403" customWidth="1"/>
    <col min="7421" max="7421" width="9.83203125" style="403" bestFit="1" customWidth="1"/>
    <col min="7422" max="7422" width="8.83203125" style="403" bestFit="1" customWidth="1"/>
    <col min="7423" max="7433" width="10.33203125" style="403" customWidth="1"/>
    <col min="7434" max="7673" width="9.1640625" style="403"/>
    <col min="7674" max="7674" width="1.6640625" style="403" customWidth="1"/>
    <col min="7675" max="7675" width="19.1640625" style="403" customWidth="1"/>
    <col min="7676" max="7676" width="35.1640625" style="403" customWidth="1"/>
    <col min="7677" max="7677" width="9.83203125" style="403" bestFit="1" customWidth="1"/>
    <col min="7678" max="7678" width="8.83203125" style="403" bestFit="1" customWidth="1"/>
    <col min="7679" max="7689" width="10.33203125" style="403" customWidth="1"/>
    <col min="7690" max="7929" width="9.1640625" style="403"/>
    <col min="7930" max="7930" width="1.6640625" style="403" customWidth="1"/>
    <col min="7931" max="7931" width="19.1640625" style="403" customWidth="1"/>
    <col min="7932" max="7932" width="35.1640625" style="403" customWidth="1"/>
    <col min="7933" max="7933" width="9.83203125" style="403" bestFit="1" customWidth="1"/>
    <col min="7934" max="7934" width="8.83203125" style="403" bestFit="1" customWidth="1"/>
    <col min="7935" max="7945" width="10.33203125" style="403" customWidth="1"/>
    <col min="7946" max="8185" width="9.1640625" style="403"/>
    <col min="8186" max="8186" width="1.6640625" style="403" customWidth="1"/>
    <col min="8187" max="8187" width="19.1640625" style="403" customWidth="1"/>
    <col min="8188" max="8188" width="35.1640625" style="403" customWidth="1"/>
    <col min="8189" max="8189" width="9.83203125" style="403" bestFit="1" customWidth="1"/>
    <col min="8190" max="8190" width="8.83203125" style="403" bestFit="1" customWidth="1"/>
    <col min="8191" max="8201" width="10.33203125" style="403" customWidth="1"/>
    <col min="8202" max="8441" width="9.1640625" style="403"/>
    <col min="8442" max="8442" width="1.6640625" style="403" customWidth="1"/>
    <col min="8443" max="8443" width="19.1640625" style="403" customWidth="1"/>
    <col min="8444" max="8444" width="35.1640625" style="403" customWidth="1"/>
    <col min="8445" max="8445" width="9.83203125" style="403" bestFit="1" customWidth="1"/>
    <col min="8446" max="8446" width="8.83203125" style="403" bestFit="1" customWidth="1"/>
    <col min="8447" max="8457" width="10.33203125" style="403" customWidth="1"/>
    <col min="8458" max="8697" width="9.1640625" style="403"/>
    <col min="8698" max="8698" width="1.6640625" style="403" customWidth="1"/>
    <col min="8699" max="8699" width="19.1640625" style="403" customWidth="1"/>
    <col min="8700" max="8700" width="35.1640625" style="403" customWidth="1"/>
    <col min="8701" max="8701" width="9.83203125" style="403" bestFit="1" customWidth="1"/>
    <col min="8702" max="8702" width="8.83203125" style="403" bestFit="1" customWidth="1"/>
    <col min="8703" max="8713" width="10.33203125" style="403" customWidth="1"/>
    <col min="8714" max="8953" width="9.1640625" style="403"/>
    <col min="8954" max="8954" width="1.6640625" style="403" customWidth="1"/>
    <col min="8955" max="8955" width="19.1640625" style="403" customWidth="1"/>
    <col min="8956" max="8956" width="35.1640625" style="403" customWidth="1"/>
    <col min="8957" max="8957" width="9.83203125" style="403" bestFit="1" customWidth="1"/>
    <col min="8958" max="8958" width="8.83203125" style="403" bestFit="1" customWidth="1"/>
    <col min="8959" max="8969" width="10.33203125" style="403" customWidth="1"/>
    <col min="8970" max="9209" width="9.1640625" style="403"/>
    <col min="9210" max="9210" width="1.6640625" style="403" customWidth="1"/>
    <col min="9211" max="9211" width="19.1640625" style="403" customWidth="1"/>
    <col min="9212" max="9212" width="35.1640625" style="403" customWidth="1"/>
    <col min="9213" max="9213" width="9.83203125" style="403" bestFit="1" customWidth="1"/>
    <col min="9214" max="9214" width="8.83203125" style="403" bestFit="1" customWidth="1"/>
    <col min="9215" max="9225" width="10.33203125" style="403" customWidth="1"/>
    <col min="9226" max="9465" width="9.1640625" style="403"/>
    <col min="9466" max="9466" width="1.6640625" style="403" customWidth="1"/>
    <col min="9467" max="9467" width="19.1640625" style="403" customWidth="1"/>
    <col min="9468" max="9468" width="35.1640625" style="403" customWidth="1"/>
    <col min="9469" max="9469" width="9.83203125" style="403" bestFit="1" customWidth="1"/>
    <col min="9470" max="9470" width="8.83203125" style="403" bestFit="1" customWidth="1"/>
    <col min="9471" max="9481" width="10.33203125" style="403" customWidth="1"/>
    <col min="9482" max="9721" width="9.1640625" style="403"/>
    <col min="9722" max="9722" width="1.6640625" style="403" customWidth="1"/>
    <col min="9723" max="9723" width="19.1640625" style="403" customWidth="1"/>
    <col min="9724" max="9724" width="35.1640625" style="403" customWidth="1"/>
    <col min="9725" max="9725" width="9.83203125" style="403" bestFit="1" customWidth="1"/>
    <col min="9726" max="9726" width="8.83203125" style="403" bestFit="1" customWidth="1"/>
    <col min="9727" max="9737" width="10.33203125" style="403" customWidth="1"/>
    <col min="9738" max="9977" width="9.1640625" style="403"/>
    <col min="9978" max="9978" width="1.6640625" style="403" customWidth="1"/>
    <col min="9979" max="9979" width="19.1640625" style="403" customWidth="1"/>
    <col min="9980" max="9980" width="35.1640625" style="403" customWidth="1"/>
    <col min="9981" max="9981" width="9.83203125" style="403" bestFit="1" customWidth="1"/>
    <col min="9982" max="9982" width="8.83203125" style="403" bestFit="1" customWidth="1"/>
    <col min="9983" max="9993" width="10.33203125" style="403" customWidth="1"/>
    <col min="9994" max="10233" width="9.1640625" style="403"/>
    <col min="10234" max="10234" width="1.6640625" style="403" customWidth="1"/>
    <col min="10235" max="10235" width="19.1640625" style="403" customWidth="1"/>
    <col min="10236" max="10236" width="35.1640625" style="403" customWidth="1"/>
    <col min="10237" max="10237" width="9.83203125" style="403" bestFit="1" customWidth="1"/>
    <col min="10238" max="10238" width="8.83203125" style="403" bestFit="1" customWidth="1"/>
    <col min="10239" max="10249" width="10.33203125" style="403" customWidth="1"/>
    <col min="10250" max="10489" width="9.1640625" style="403"/>
    <col min="10490" max="10490" width="1.6640625" style="403" customWidth="1"/>
    <col min="10491" max="10491" width="19.1640625" style="403" customWidth="1"/>
    <col min="10492" max="10492" width="35.1640625" style="403" customWidth="1"/>
    <col min="10493" max="10493" width="9.83203125" style="403" bestFit="1" customWidth="1"/>
    <col min="10494" max="10494" width="8.83203125" style="403" bestFit="1" customWidth="1"/>
    <col min="10495" max="10505" width="10.33203125" style="403" customWidth="1"/>
    <col min="10506" max="10745" width="9.1640625" style="403"/>
    <col min="10746" max="10746" width="1.6640625" style="403" customWidth="1"/>
    <col min="10747" max="10747" width="19.1640625" style="403" customWidth="1"/>
    <col min="10748" max="10748" width="35.1640625" style="403" customWidth="1"/>
    <col min="10749" max="10749" width="9.83203125" style="403" bestFit="1" customWidth="1"/>
    <col min="10750" max="10750" width="8.83203125" style="403" bestFit="1" customWidth="1"/>
    <col min="10751" max="10761" width="10.33203125" style="403" customWidth="1"/>
    <col min="10762" max="11001" width="9.1640625" style="403"/>
    <col min="11002" max="11002" width="1.6640625" style="403" customWidth="1"/>
    <col min="11003" max="11003" width="19.1640625" style="403" customWidth="1"/>
    <col min="11004" max="11004" width="35.1640625" style="403" customWidth="1"/>
    <col min="11005" max="11005" width="9.83203125" style="403" bestFit="1" customWidth="1"/>
    <col min="11006" max="11006" width="8.83203125" style="403" bestFit="1" customWidth="1"/>
    <col min="11007" max="11017" width="10.33203125" style="403" customWidth="1"/>
    <col min="11018" max="11257" width="9.1640625" style="403"/>
    <col min="11258" max="11258" width="1.6640625" style="403" customWidth="1"/>
    <col min="11259" max="11259" width="19.1640625" style="403" customWidth="1"/>
    <col min="11260" max="11260" width="35.1640625" style="403" customWidth="1"/>
    <col min="11261" max="11261" width="9.83203125" style="403" bestFit="1" customWidth="1"/>
    <col min="11262" max="11262" width="8.83203125" style="403" bestFit="1" customWidth="1"/>
    <col min="11263" max="11273" width="10.33203125" style="403" customWidth="1"/>
    <col min="11274" max="11513" width="9.1640625" style="403"/>
    <col min="11514" max="11514" width="1.6640625" style="403" customWidth="1"/>
    <col min="11515" max="11515" width="19.1640625" style="403" customWidth="1"/>
    <col min="11516" max="11516" width="35.1640625" style="403" customWidth="1"/>
    <col min="11517" max="11517" width="9.83203125" style="403" bestFit="1" customWidth="1"/>
    <col min="11518" max="11518" width="8.83203125" style="403" bestFit="1" customWidth="1"/>
    <col min="11519" max="11529" width="10.33203125" style="403" customWidth="1"/>
    <col min="11530" max="11769" width="9.1640625" style="403"/>
    <col min="11770" max="11770" width="1.6640625" style="403" customWidth="1"/>
    <col min="11771" max="11771" width="19.1640625" style="403" customWidth="1"/>
    <col min="11772" max="11772" width="35.1640625" style="403" customWidth="1"/>
    <col min="11773" max="11773" width="9.83203125" style="403" bestFit="1" customWidth="1"/>
    <col min="11774" max="11774" width="8.83203125" style="403" bestFit="1" customWidth="1"/>
    <col min="11775" max="11785" width="10.33203125" style="403" customWidth="1"/>
    <col min="11786" max="12025" width="9.1640625" style="403"/>
    <col min="12026" max="12026" width="1.6640625" style="403" customWidth="1"/>
    <col min="12027" max="12027" width="19.1640625" style="403" customWidth="1"/>
    <col min="12028" max="12028" width="35.1640625" style="403" customWidth="1"/>
    <col min="12029" max="12029" width="9.83203125" style="403" bestFit="1" customWidth="1"/>
    <col min="12030" max="12030" width="8.83203125" style="403" bestFit="1" customWidth="1"/>
    <col min="12031" max="12041" width="10.33203125" style="403" customWidth="1"/>
    <col min="12042" max="12281" width="9.1640625" style="403"/>
    <col min="12282" max="12282" width="1.6640625" style="403" customWidth="1"/>
    <col min="12283" max="12283" width="19.1640625" style="403" customWidth="1"/>
    <col min="12284" max="12284" width="35.1640625" style="403" customWidth="1"/>
    <col min="12285" max="12285" width="9.83203125" style="403" bestFit="1" customWidth="1"/>
    <col min="12286" max="12286" width="8.83203125" style="403" bestFit="1" customWidth="1"/>
    <col min="12287" max="12297" width="10.33203125" style="403" customWidth="1"/>
    <col min="12298" max="12537" width="9.1640625" style="403"/>
    <col min="12538" max="12538" width="1.6640625" style="403" customWidth="1"/>
    <col min="12539" max="12539" width="19.1640625" style="403" customWidth="1"/>
    <col min="12540" max="12540" width="35.1640625" style="403" customWidth="1"/>
    <col min="12541" max="12541" width="9.83203125" style="403" bestFit="1" customWidth="1"/>
    <col min="12542" max="12542" width="8.83203125" style="403" bestFit="1" customWidth="1"/>
    <col min="12543" max="12553" width="10.33203125" style="403" customWidth="1"/>
    <col min="12554" max="12793" width="9.1640625" style="403"/>
    <col min="12794" max="12794" width="1.6640625" style="403" customWidth="1"/>
    <col min="12795" max="12795" width="19.1640625" style="403" customWidth="1"/>
    <col min="12796" max="12796" width="35.1640625" style="403" customWidth="1"/>
    <col min="12797" max="12797" width="9.83203125" style="403" bestFit="1" customWidth="1"/>
    <col min="12798" max="12798" width="8.83203125" style="403" bestFit="1" customWidth="1"/>
    <col min="12799" max="12809" width="10.33203125" style="403" customWidth="1"/>
    <col min="12810" max="13049" width="9.1640625" style="403"/>
    <col min="13050" max="13050" width="1.6640625" style="403" customWidth="1"/>
    <col min="13051" max="13051" width="19.1640625" style="403" customWidth="1"/>
    <col min="13052" max="13052" width="35.1640625" style="403" customWidth="1"/>
    <col min="13053" max="13053" width="9.83203125" style="403" bestFit="1" customWidth="1"/>
    <col min="13054" max="13054" width="8.83203125" style="403" bestFit="1" customWidth="1"/>
    <col min="13055" max="13065" width="10.33203125" style="403" customWidth="1"/>
    <col min="13066" max="13305" width="9.1640625" style="403"/>
    <col min="13306" max="13306" width="1.6640625" style="403" customWidth="1"/>
    <col min="13307" max="13307" width="19.1640625" style="403" customWidth="1"/>
    <col min="13308" max="13308" width="35.1640625" style="403" customWidth="1"/>
    <col min="13309" max="13309" width="9.83203125" style="403" bestFit="1" customWidth="1"/>
    <col min="13310" max="13310" width="8.83203125" style="403" bestFit="1" customWidth="1"/>
    <col min="13311" max="13321" width="10.33203125" style="403" customWidth="1"/>
    <col min="13322" max="13561" width="9.1640625" style="403"/>
    <col min="13562" max="13562" width="1.6640625" style="403" customWidth="1"/>
    <col min="13563" max="13563" width="19.1640625" style="403" customWidth="1"/>
    <col min="13564" max="13564" width="35.1640625" style="403" customWidth="1"/>
    <col min="13565" max="13565" width="9.83203125" style="403" bestFit="1" customWidth="1"/>
    <col min="13566" max="13566" width="8.83203125" style="403" bestFit="1" customWidth="1"/>
    <col min="13567" max="13577" width="10.33203125" style="403" customWidth="1"/>
    <col min="13578" max="13817" width="9.1640625" style="403"/>
    <col min="13818" max="13818" width="1.6640625" style="403" customWidth="1"/>
    <col min="13819" max="13819" width="19.1640625" style="403" customWidth="1"/>
    <col min="13820" max="13820" width="35.1640625" style="403" customWidth="1"/>
    <col min="13821" max="13821" width="9.83203125" style="403" bestFit="1" customWidth="1"/>
    <col min="13822" max="13822" width="8.83203125" style="403" bestFit="1" customWidth="1"/>
    <col min="13823" max="13833" width="10.33203125" style="403" customWidth="1"/>
    <col min="13834" max="14073" width="9.1640625" style="403"/>
    <col min="14074" max="14074" width="1.6640625" style="403" customWidth="1"/>
    <col min="14075" max="14075" width="19.1640625" style="403" customWidth="1"/>
    <col min="14076" max="14076" width="35.1640625" style="403" customWidth="1"/>
    <col min="14077" max="14077" width="9.83203125" style="403" bestFit="1" customWidth="1"/>
    <col min="14078" max="14078" width="8.83203125" style="403" bestFit="1" customWidth="1"/>
    <col min="14079" max="14089" width="10.33203125" style="403" customWidth="1"/>
    <col min="14090" max="14329" width="9.1640625" style="403"/>
    <col min="14330" max="14330" width="1.6640625" style="403" customWidth="1"/>
    <col min="14331" max="14331" width="19.1640625" style="403" customWidth="1"/>
    <col min="14332" max="14332" width="35.1640625" style="403" customWidth="1"/>
    <col min="14333" max="14333" width="9.83203125" style="403" bestFit="1" customWidth="1"/>
    <col min="14334" max="14334" width="8.83203125" style="403" bestFit="1" customWidth="1"/>
    <col min="14335" max="14345" width="10.33203125" style="403" customWidth="1"/>
    <col min="14346" max="14585" width="9.1640625" style="403"/>
    <col min="14586" max="14586" width="1.6640625" style="403" customWidth="1"/>
    <col min="14587" max="14587" width="19.1640625" style="403" customWidth="1"/>
    <col min="14588" max="14588" width="35.1640625" style="403" customWidth="1"/>
    <col min="14589" max="14589" width="9.83203125" style="403" bestFit="1" customWidth="1"/>
    <col min="14590" max="14590" width="8.83203125" style="403" bestFit="1" customWidth="1"/>
    <col min="14591" max="14601" width="10.33203125" style="403" customWidth="1"/>
    <col min="14602" max="14841" width="9.1640625" style="403"/>
    <col min="14842" max="14842" width="1.6640625" style="403" customWidth="1"/>
    <col min="14843" max="14843" width="19.1640625" style="403" customWidth="1"/>
    <col min="14844" max="14844" width="35.1640625" style="403" customWidth="1"/>
    <col min="14845" max="14845" width="9.83203125" style="403" bestFit="1" customWidth="1"/>
    <col min="14846" max="14846" width="8.83203125" style="403" bestFit="1" customWidth="1"/>
    <col min="14847" max="14857" width="10.33203125" style="403" customWidth="1"/>
    <col min="14858" max="15097" width="9.1640625" style="403"/>
    <col min="15098" max="15098" width="1.6640625" style="403" customWidth="1"/>
    <col min="15099" max="15099" width="19.1640625" style="403" customWidth="1"/>
    <col min="15100" max="15100" width="35.1640625" style="403" customWidth="1"/>
    <col min="15101" max="15101" width="9.83203125" style="403" bestFit="1" customWidth="1"/>
    <col min="15102" max="15102" width="8.83203125" style="403" bestFit="1" customWidth="1"/>
    <col min="15103" max="15113" width="10.33203125" style="403" customWidth="1"/>
    <col min="15114" max="15353" width="9.1640625" style="403"/>
    <col min="15354" max="15354" width="1.6640625" style="403" customWidth="1"/>
    <col min="15355" max="15355" width="19.1640625" style="403" customWidth="1"/>
    <col min="15356" max="15356" width="35.1640625" style="403" customWidth="1"/>
    <col min="15357" max="15357" width="9.83203125" style="403" bestFit="1" customWidth="1"/>
    <col min="15358" max="15358" width="8.83203125" style="403" bestFit="1" customWidth="1"/>
    <col min="15359" max="15369" width="10.33203125" style="403" customWidth="1"/>
    <col min="15370" max="15609" width="9.1640625" style="403"/>
    <col min="15610" max="15610" width="1.6640625" style="403" customWidth="1"/>
    <col min="15611" max="15611" width="19.1640625" style="403" customWidth="1"/>
    <col min="15612" max="15612" width="35.1640625" style="403" customWidth="1"/>
    <col min="15613" max="15613" width="9.83203125" style="403" bestFit="1" customWidth="1"/>
    <col min="15614" max="15614" width="8.83203125" style="403" bestFit="1" customWidth="1"/>
    <col min="15615" max="15625" width="10.33203125" style="403" customWidth="1"/>
    <col min="15626" max="15865" width="9.1640625" style="403"/>
    <col min="15866" max="15866" width="1.6640625" style="403" customWidth="1"/>
    <col min="15867" max="15867" width="19.1640625" style="403" customWidth="1"/>
    <col min="15868" max="15868" width="35.1640625" style="403" customWidth="1"/>
    <col min="15869" max="15869" width="9.83203125" style="403" bestFit="1" customWidth="1"/>
    <col min="15870" max="15870" width="8.83203125" style="403" bestFit="1" customWidth="1"/>
    <col min="15871" max="15881" width="10.33203125" style="403" customWidth="1"/>
    <col min="15882" max="16121" width="9.1640625" style="403"/>
    <col min="16122" max="16122" width="1.6640625" style="403" customWidth="1"/>
    <col min="16123" max="16123" width="19.1640625" style="403" customWidth="1"/>
    <col min="16124" max="16124" width="35.1640625" style="403" customWidth="1"/>
    <col min="16125" max="16125" width="9.83203125" style="403" bestFit="1" customWidth="1"/>
    <col min="16126" max="16126" width="8.83203125" style="403" bestFit="1" customWidth="1"/>
    <col min="16127" max="16137" width="10.33203125" style="403" customWidth="1"/>
    <col min="16138" max="16384" width="9.1640625" style="403"/>
  </cols>
  <sheetData>
    <row r="1" spans="1:10" s="382" customFormat="1" ht="43" customHeight="1">
      <c r="A1" s="380"/>
      <c r="B1" s="380"/>
      <c r="C1" s="380"/>
      <c r="D1" s="694" t="s">
        <v>107</v>
      </c>
      <c r="E1" s="695"/>
      <c r="F1" s="696"/>
      <c r="G1" s="700" t="s">
        <v>411</v>
      </c>
      <c r="H1" s="701"/>
      <c r="I1" s="702"/>
      <c r="J1" s="381"/>
    </row>
    <row r="2" spans="1:10" s="382" customFormat="1" ht="16">
      <c r="A2" s="380" t="s">
        <v>353</v>
      </c>
      <c r="B2" s="380"/>
      <c r="C2" s="380"/>
      <c r="D2" s="597"/>
      <c r="E2" s="595"/>
      <c r="F2" s="596"/>
      <c r="G2" s="700"/>
      <c r="H2" s="701"/>
      <c r="I2" s="702"/>
      <c r="J2" s="381"/>
    </row>
    <row r="3" spans="1:10" s="382" customFormat="1" ht="47" customHeight="1">
      <c r="A3" s="380"/>
      <c r="B3" s="380"/>
      <c r="C3" s="380"/>
      <c r="D3" s="383"/>
      <c r="E3" s="384"/>
      <c r="F3" s="385"/>
      <c r="G3" s="697" t="s">
        <v>412</v>
      </c>
      <c r="H3" s="698"/>
      <c r="I3" s="699"/>
      <c r="J3" s="381"/>
    </row>
    <row r="4" spans="1:10" s="394" customFormat="1" ht="15.75" customHeight="1" thickBot="1">
      <c r="A4" s="386" t="s">
        <v>40</v>
      </c>
      <c r="B4" s="386" t="s">
        <v>10</v>
      </c>
      <c r="C4" s="387" t="s">
        <v>23</v>
      </c>
      <c r="D4" s="388" t="s">
        <v>225</v>
      </c>
      <c r="E4" s="389" t="s">
        <v>169</v>
      </c>
      <c r="F4" s="390" t="s">
        <v>158</v>
      </c>
      <c r="G4" s="391" t="s">
        <v>225</v>
      </c>
      <c r="H4" s="391" t="s">
        <v>169</v>
      </c>
      <c r="I4" s="392" t="s">
        <v>158</v>
      </c>
      <c r="J4" s="393"/>
    </row>
    <row r="5" spans="1:10" ht="14.5" customHeight="1">
      <c r="A5" s="688" t="s">
        <v>321</v>
      </c>
      <c r="B5" s="691" t="s">
        <v>37</v>
      </c>
      <c r="C5" s="395" t="s">
        <v>25</v>
      </c>
      <c r="D5" s="396">
        <f>G5</f>
        <v>0</v>
      </c>
      <c r="E5" s="397">
        <f>H5</f>
        <v>0</v>
      </c>
      <c r="F5" s="398">
        <f>I5</f>
        <v>0</v>
      </c>
      <c r="G5" s="399"/>
      <c r="H5" s="400"/>
      <c r="I5" s="401"/>
      <c r="J5" s="402">
        <v>0</v>
      </c>
    </row>
    <row r="6" spans="1:10" ht="16">
      <c r="A6" s="689"/>
      <c r="B6" s="692"/>
      <c r="C6" s="404" t="s">
        <v>26</v>
      </c>
      <c r="D6" s="405">
        <f t="shared" ref="D6:D64" si="0">G6</f>
        <v>0</v>
      </c>
      <c r="E6" s="406">
        <f t="shared" ref="E6:E64" si="1">H6</f>
        <v>0</v>
      </c>
      <c r="F6" s="407">
        <f t="shared" ref="F6:F64" si="2">I6</f>
        <v>0</v>
      </c>
      <c r="G6" s="408"/>
      <c r="H6" s="409"/>
      <c r="I6" s="410"/>
      <c r="J6" s="402"/>
    </row>
    <row r="7" spans="1:10" ht="16">
      <c r="A7" s="689"/>
      <c r="B7" s="692"/>
      <c r="C7" s="404" t="s">
        <v>27</v>
      </c>
      <c r="D7" s="405">
        <f t="shared" si="0"/>
        <v>0</v>
      </c>
      <c r="E7" s="406">
        <f t="shared" si="1"/>
        <v>0</v>
      </c>
      <c r="F7" s="407">
        <f t="shared" si="2"/>
        <v>0</v>
      </c>
      <c r="G7" s="408"/>
      <c r="H7" s="409"/>
      <c r="I7" s="410"/>
      <c r="J7" s="402"/>
    </row>
    <row r="8" spans="1:10" ht="16">
      <c r="A8" s="689"/>
      <c r="B8" s="692"/>
      <c r="C8" s="404" t="s">
        <v>28</v>
      </c>
      <c r="D8" s="405">
        <f t="shared" si="0"/>
        <v>0</v>
      </c>
      <c r="E8" s="406">
        <f t="shared" si="1"/>
        <v>0</v>
      </c>
      <c r="F8" s="407">
        <f t="shared" si="2"/>
        <v>0</v>
      </c>
      <c r="G8" s="408"/>
      <c r="H8" s="409"/>
      <c r="I8" s="410"/>
      <c r="J8" s="402"/>
    </row>
    <row r="9" spans="1:10" ht="16">
      <c r="A9" s="689"/>
      <c r="B9" s="692"/>
      <c r="C9" s="404" t="s">
        <v>29</v>
      </c>
      <c r="D9" s="405">
        <f t="shared" si="0"/>
        <v>0</v>
      </c>
      <c r="E9" s="406">
        <f t="shared" si="1"/>
        <v>0</v>
      </c>
      <c r="F9" s="407">
        <f t="shared" si="2"/>
        <v>0</v>
      </c>
      <c r="G9" s="408"/>
      <c r="H9" s="409"/>
      <c r="I9" s="410"/>
      <c r="J9" s="402"/>
    </row>
    <row r="10" spans="1:10" ht="16">
      <c r="A10" s="689"/>
      <c r="B10" s="692"/>
      <c r="C10" s="404" t="s">
        <v>30</v>
      </c>
      <c r="D10" s="405">
        <f t="shared" si="0"/>
        <v>0</v>
      </c>
      <c r="E10" s="406">
        <f t="shared" si="1"/>
        <v>0</v>
      </c>
      <c r="F10" s="407">
        <f t="shared" si="2"/>
        <v>0</v>
      </c>
      <c r="G10" s="408"/>
      <c r="H10" s="409"/>
      <c r="I10" s="410"/>
      <c r="J10" s="402"/>
    </row>
    <row r="11" spans="1:10" ht="16">
      <c r="A11" s="689"/>
      <c r="B11" s="692"/>
      <c r="C11" s="404" t="s">
        <v>31</v>
      </c>
      <c r="D11" s="405">
        <f t="shared" si="0"/>
        <v>0</v>
      </c>
      <c r="E11" s="406">
        <f t="shared" si="1"/>
        <v>0</v>
      </c>
      <c r="F11" s="407">
        <f t="shared" si="2"/>
        <v>0</v>
      </c>
      <c r="G11" s="408"/>
      <c r="H11" s="409"/>
      <c r="I11" s="410"/>
      <c r="J11" s="402"/>
    </row>
    <row r="12" spans="1:10" ht="16">
      <c r="A12" s="689"/>
      <c r="B12" s="692"/>
      <c r="C12" s="404" t="s">
        <v>32</v>
      </c>
      <c r="D12" s="405">
        <f t="shared" si="0"/>
        <v>0</v>
      </c>
      <c r="E12" s="406">
        <f t="shared" si="1"/>
        <v>0</v>
      </c>
      <c r="F12" s="407">
        <f t="shared" si="2"/>
        <v>0</v>
      </c>
      <c r="G12" s="408"/>
      <c r="H12" s="409"/>
      <c r="I12" s="410"/>
      <c r="J12" s="402"/>
    </row>
    <row r="13" spans="1:10" ht="16">
      <c r="A13" s="689"/>
      <c r="B13" s="692"/>
      <c r="C13" s="404" t="s">
        <v>33</v>
      </c>
      <c r="D13" s="405">
        <f t="shared" si="0"/>
        <v>0</v>
      </c>
      <c r="E13" s="406">
        <f t="shared" si="1"/>
        <v>0</v>
      </c>
      <c r="F13" s="407">
        <f t="shared" si="2"/>
        <v>0</v>
      </c>
      <c r="G13" s="408"/>
      <c r="H13" s="409"/>
      <c r="I13" s="410"/>
      <c r="J13" s="402"/>
    </row>
    <row r="14" spans="1:10" ht="17" thickBot="1">
      <c r="A14" s="690"/>
      <c r="B14" s="693"/>
      <c r="C14" s="411" t="s">
        <v>34</v>
      </c>
      <c r="D14" s="412">
        <f t="shared" si="0"/>
        <v>0</v>
      </c>
      <c r="E14" s="413">
        <f t="shared" si="1"/>
        <v>0</v>
      </c>
      <c r="F14" s="414">
        <f t="shared" si="2"/>
        <v>0</v>
      </c>
      <c r="G14" s="408">
        <v>0</v>
      </c>
      <c r="H14" s="409">
        <v>0</v>
      </c>
      <c r="I14" s="416">
        <f>H14-G14</f>
        <v>0</v>
      </c>
      <c r="J14" s="402"/>
    </row>
    <row r="15" spans="1:10" ht="16">
      <c r="A15" s="688" t="s">
        <v>192</v>
      </c>
      <c r="B15" s="691" t="s">
        <v>13</v>
      </c>
      <c r="C15" s="395" t="s">
        <v>25</v>
      </c>
      <c r="D15" s="417">
        <f t="shared" si="0"/>
        <v>0</v>
      </c>
      <c r="E15" s="418">
        <f t="shared" si="1"/>
        <v>0</v>
      </c>
      <c r="F15" s="419">
        <f t="shared" si="2"/>
        <v>0</v>
      </c>
      <c r="G15" s="420"/>
      <c r="H15" s="421"/>
      <c r="I15" s="422"/>
      <c r="J15" s="402"/>
    </row>
    <row r="16" spans="1:10" ht="16">
      <c r="A16" s="689"/>
      <c r="B16" s="692"/>
      <c r="C16" s="404" t="s">
        <v>26</v>
      </c>
      <c r="D16" s="423">
        <f t="shared" si="0"/>
        <v>0</v>
      </c>
      <c r="E16" s="424">
        <f t="shared" si="1"/>
        <v>0</v>
      </c>
      <c r="F16" s="425">
        <f t="shared" si="2"/>
        <v>0</v>
      </c>
      <c r="G16" s="426"/>
      <c r="H16" s="427"/>
      <c r="I16" s="428"/>
      <c r="J16" s="402"/>
    </row>
    <row r="17" spans="1:10" ht="16">
      <c r="A17" s="689"/>
      <c r="B17" s="692"/>
      <c r="C17" s="404" t="s">
        <v>27</v>
      </c>
      <c r="D17" s="423">
        <f t="shared" si="0"/>
        <v>0</v>
      </c>
      <c r="E17" s="424">
        <f t="shared" si="1"/>
        <v>0</v>
      </c>
      <c r="F17" s="425">
        <f t="shared" si="2"/>
        <v>0</v>
      </c>
      <c r="G17" s="426"/>
      <c r="H17" s="427"/>
      <c r="I17" s="428"/>
      <c r="J17" s="402"/>
    </row>
    <row r="18" spans="1:10" ht="16">
      <c r="A18" s="689"/>
      <c r="B18" s="692"/>
      <c r="C18" s="404" t="s">
        <v>28</v>
      </c>
      <c r="D18" s="423">
        <f t="shared" si="0"/>
        <v>0</v>
      </c>
      <c r="E18" s="424">
        <f t="shared" si="1"/>
        <v>0</v>
      </c>
      <c r="F18" s="425">
        <f t="shared" si="2"/>
        <v>0</v>
      </c>
      <c r="G18" s="426"/>
      <c r="H18" s="427"/>
      <c r="I18" s="428"/>
      <c r="J18" s="402"/>
    </row>
    <row r="19" spans="1:10" ht="16">
      <c r="A19" s="689"/>
      <c r="B19" s="692"/>
      <c r="C19" s="404" t="s">
        <v>29</v>
      </c>
      <c r="D19" s="423">
        <f t="shared" si="0"/>
        <v>0</v>
      </c>
      <c r="E19" s="424">
        <f t="shared" si="1"/>
        <v>0</v>
      </c>
      <c r="F19" s="425">
        <f t="shared" si="2"/>
        <v>0</v>
      </c>
      <c r="G19" s="426"/>
      <c r="H19" s="427"/>
      <c r="I19" s="428"/>
      <c r="J19" s="402"/>
    </row>
    <row r="20" spans="1:10" ht="16">
      <c r="A20" s="689"/>
      <c r="B20" s="692"/>
      <c r="C20" s="404" t="s">
        <v>30</v>
      </c>
      <c r="D20" s="423">
        <f t="shared" si="0"/>
        <v>0</v>
      </c>
      <c r="E20" s="424">
        <f t="shared" si="1"/>
        <v>0</v>
      </c>
      <c r="F20" s="425">
        <f t="shared" si="2"/>
        <v>0</v>
      </c>
      <c r="G20" s="426"/>
      <c r="H20" s="427"/>
      <c r="I20" s="428"/>
      <c r="J20" s="402"/>
    </row>
    <row r="21" spans="1:10" ht="16">
      <c r="A21" s="689"/>
      <c r="B21" s="692"/>
      <c r="C21" s="404" t="s">
        <v>31</v>
      </c>
      <c r="D21" s="423">
        <f t="shared" si="0"/>
        <v>0</v>
      </c>
      <c r="E21" s="424">
        <f t="shared" si="1"/>
        <v>0</v>
      </c>
      <c r="F21" s="425">
        <f t="shared" si="2"/>
        <v>0</v>
      </c>
      <c r="G21" s="426"/>
      <c r="H21" s="427"/>
      <c r="I21" s="428"/>
      <c r="J21" s="402"/>
    </row>
    <row r="22" spans="1:10" ht="16">
      <c r="A22" s="689"/>
      <c r="B22" s="692"/>
      <c r="C22" s="404" t="s">
        <v>32</v>
      </c>
      <c r="D22" s="423">
        <f t="shared" si="0"/>
        <v>0</v>
      </c>
      <c r="E22" s="424">
        <f t="shared" si="1"/>
        <v>0</v>
      </c>
      <c r="F22" s="425">
        <f t="shared" si="2"/>
        <v>0</v>
      </c>
      <c r="G22" s="426"/>
      <c r="H22" s="427"/>
      <c r="I22" s="428"/>
      <c r="J22" s="402"/>
    </row>
    <row r="23" spans="1:10" ht="16">
      <c r="A23" s="689"/>
      <c r="B23" s="692"/>
      <c r="C23" s="404" t="s">
        <v>33</v>
      </c>
      <c r="D23" s="423">
        <f t="shared" si="0"/>
        <v>0</v>
      </c>
      <c r="E23" s="424">
        <f t="shared" si="1"/>
        <v>0</v>
      </c>
      <c r="F23" s="425">
        <f t="shared" si="2"/>
        <v>0</v>
      </c>
      <c r="G23" s="426"/>
      <c r="H23" s="427"/>
      <c r="I23" s="428"/>
      <c r="J23" s="402"/>
    </row>
    <row r="24" spans="1:10" ht="17" thickBot="1">
      <c r="A24" s="690"/>
      <c r="B24" s="693"/>
      <c r="C24" s="411" t="s">
        <v>34</v>
      </c>
      <c r="D24" s="429">
        <f t="shared" si="0"/>
        <v>0</v>
      </c>
      <c r="E24" s="430">
        <f t="shared" si="1"/>
        <v>0</v>
      </c>
      <c r="F24" s="431">
        <f t="shared" si="2"/>
        <v>0</v>
      </c>
      <c r="G24" s="432"/>
      <c r="H24" s="433"/>
      <c r="I24" s="434"/>
      <c r="J24" s="402"/>
    </row>
    <row r="25" spans="1:10" s="436" customFormat="1" ht="14.25" customHeight="1">
      <c r="A25" s="688" t="s">
        <v>42</v>
      </c>
      <c r="B25" s="691" t="s">
        <v>13</v>
      </c>
      <c r="C25" s="395" t="s">
        <v>25</v>
      </c>
      <c r="D25" s="417">
        <f t="shared" si="0"/>
        <v>0</v>
      </c>
      <c r="E25" s="418">
        <f t="shared" si="1"/>
        <v>0</v>
      </c>
      <c r="F25" s="419">
        <f t="shared" si="2"/>
        <v>0</v>
      </c>
      <c r="G25" s="420"/>
      <c r="H25" s="421"/>
      <c r="I25" s="422"/>
      <c r="J25" s="435"/>
    </row>
    <row r="26" spans="1:10" s="438" customFormat="1" ht="16">
      <c r="A26" s="689"/>
      <c r="B26" s="692"/>
      <c r="C26" s="404" t="s">
        <v>26</v>
      </c>
      <c r="D26" s="423">
        <f t="shared" si="0"/>
        <v>0</v>
      </c>
      <c r="E26" s="424">
        <f t="shared" si="1"/>
        <v>0</v>
      </c>
      <c r="F26" s="425">
        <f t="shared" si="2"/>
        <v>0</v>
      </c>
      <c r="G26" s="426"/>
      <c r="H26" s="427"/>
      <c r="I26" s="428"/>
      <c r="J26" s="437"/>
    </row>
    <row r="27" spans="1:10" s="438" customFormat="1" ht="16">
      <c r="A27" s="689"/>
      <c r="B27" s="692"/>
      <c r="C27" s="404" t="s">
        <v>27</v>
      </c>
      <c r="D27" s="423">
        <f t="shared" si="0"/>
        <v>0</v>
      </c>
      <c r="E27" s="424">
        <f t="shared" si="1"/>
        <v>0</v>
      </c>
      <c r="F27" s="425">
        <f t="shared" si="2"/>
        <v>0</v>
      </c>
      <c r="G27" s="426"/>
      <c r="H27" s="427"/>
      <c r="I27" s="428"/>
      <c r="J27" s="437"/>
    </row>
    <row r="28" spans="1:10" s="438" customFormat="1" ht="16">
      <c r="A28" s="689"/>
      <c r="B28" s="692"/>
      <c r="C28" s="404" t="s">
        <v>28</v>
      </c>
      <c r="D28" s="423">
        <f t="shared" si="0"/>
        <v>0</v>
      </c>
      <c r="E28" s="424">
        <f t="shared" si="1"/>
        <v>0</v>
      </c>
      <c r="F28" s="425">
        <f t="shared" si="2"/>
        <v>0</v>
      </c>
      <c r="G28" s="426"/>
      <c r="H28" s="427"/>
      <c r="I28" s="428"/>
      <c r="J28" s="437"/>
    </row>
    <row r="29" spans="1:10" s="438" customFormat="1" ht="16">
      <c r="A29" s="689"/>
      <c r="B29" s="692"/>
      <c r="C29" s="404" t="s">
        <v>29</v>
      </c>
      <c r="D29" s="423">
        <f t="shared" si="0"/>
        <v>0</v>
      </c>
      <c r="E29" s="424">
        <f t="shared" si="1"/>
        <v>0</v>
      </c>
      <c r="F29" s="425">
        <f t="shared" si="2"/>
        <v>0</v>
      </c>
      <c r="G29" s="426"/>
      <c r="H29" s="427"/>
      <c r="I29" s="428"/>
      <c r="J29" s="437"/>
    </row>
    <row r="30" spans="1:10" s="438" customFormat="1" ht="16">
      <c r="A30" s="689"/>
      <c r="B30" s="692"/>
      <c r="C30" s="404" t="s">
        <v>30</v>
      </c>
      <c r="D30" s="423">
        <f t="shared" si="0"/>
        <v>0</v>
      </c>
      <c r="E30" s="424">
        <f t="shared" si="1"/>
        <v>0</v>
      </c>
      <c r="F30" s="425">
        <f t="shared" si="2"/>
        <v>0</v>
      </c>
      <c r="G30" s="426"/>
      <c r="H30" s="427"/>
      <c r="I30" s="428"/>
      <c r="J30" s="437"/>
    </row>
    <row r="31" spans="1:10" s="438" customFormat="1" ht="16">
      <c r="A31" s="689"/>
      <c r="B31" s="692"/>
      <c r="C31" s="404" t="s">
        <v>31</v>
      </c>
      <c r="D31" s="423">
        <f t="shared" si="0"/>
        <v>0</v>
      </c>
      <c r="E31" s="424">
        <f t="shared" si="1"/>
        <v>0</v>
      </c>
      <c r="F31" s="425">
        <f t="shared" si="2"/>
        <v>0</v>
      </c>
      <c r="G31" s="426"/>
      <c r="H31" s="427"/>
      <c r="I31" s="428"/>
      <c r="J31" s="437"/>
    </row>
    <row r="32" spans="1:10" s="438" customFormat="1" ht="16">
      <c r="A32" s="689"/>
      <c r="B32" s="692"/>
      <c r="C32" s="404" t="s">
        <v>32</v>
      </c>
      <c r="D32" s="423">
        <f t="shared" si="0"/>
        <v>0</v>
      </c>
      <c r="E32" s="424">
        <f t="shared" si="1"/>
        <v>0</v>
      </c>
      <c r="F32" s="425">
        <f t="shared" si="2"/>
        <v>0</v>
      </c>
      <c r="G32" s="426"/>
      <c r="H32" s="427"/>
      <c r="I32" s="428"/>
      <c r="J32" s="437"/>
    </row>
    <row r="33" spans="1:10" s="438" customFormat="1" ht="16">
      <c r="A33" s="689"/>
      <c r="B33" s="692"/>
      <c r="C33" s="404" t="s">
        <v>33</v>
      </c>
      <c r="D33" s="423">
        <f t="shared" si="0"/>
        <v>0</v>
      </c>
      <c r="E33" s="424">
        <f t="shared" si="1"/>
        <v>0</v>
      </c>
      <c r="F33" s="425">
        <f t="shared" si="2"/>
        <v>0</v>
      </c>
      <c r="G33" s="426"/>
      <c r="H33" s="427"/>
      <c r="I33" s="428"/>
      <c r="J33" s="437"/>
    </row>
    <row r="34" spans="1:10" s="438" customFormat="1" ht="17" thickBot="1">
      <c r="A34" s="690"/>
      <c r="B34" s="693"/>
      <c r="C34" s="411" t="s">
        <v>34</v>
      </c>
      <c r="D34" s="429">
        <f t="shared" si="0"/>
        <v>0</v>
      </c>
      <c r="E34" s="430">
        <f t="shared" si="1"/>
        <v>0</v>
      </c>
      <c r="F34" s="431">
        <f t="shared" si="2"/>
        <v>0</v>
      </c>
      <c r="G34" s="432"/>
      <c r="H34" s="433"/>
      <c r="I34" s="434"/>
      <c r="J34" s="437"/>
    </row>
    <row r="35" spans="1:10" s="436" customFormat="1" ht="14.5" customHeight="1">
      <c r="A35" s="688" t="s">
        <v>369</v>
      </c>
      <c r="B35" s="691" t="s">
        <v>189</v>
      </c>
      <c r="C35" s="395" t="s">
        <v>25</v>
      </c>
      <c r="D35" s="417">
        <f t="shared" si="0"/>
        <v>0</v>
      </c>
      <c r="E35" s="418">
        <f t="shared" si="1"/>
        <v>0</v>
      </c>
      <c r="F35" s="419">
        <f t="shared" si="2"/>
        <v>0</v>
      </c>
      <c r="G35" s="420"/>
      <c r="H35" s="421"/>
      <c r="I35" s="422"/>
      <c r="J35" s="435">
        <f>'Analyza citlivosti - AgendovéIS'!N7</f>
        <v>0</v>
      </c>
    </row>
    <row r="36" spans="1:10" s="438" customFormat="1" ht="16">
      <c r="A36" s="689"/>
      <c r="B36" s="692"/>
      <c r="C36" s="404" t="s">
        <v>26</v>
      </c>
      <c r="D36" s="423">
        <f t="shared" si="0"/>
        <v>0</v>
      </c>
      <c r="E36" s="424">
        <f t="shared" si="1"/>
        <v>0</v>
      </c>
      <c r="F36" s="425">
        <f t="shared" si="2"/>
        <v>0</v>
      </c>
      <c r="G36" s="426"/>
      <c r="H36" s="427"/>
      <c r="I36" s="428"/>
      <c r="J36" s="437"/>
    </row>
    <row r="37" spans="1:10" s="438" customFormat="1" ht="16">
      <c r="A37" s="689"/>
      <c r="B37" s="692"/>
      <c r="C37" s="404" t="s">
        <v>27</v>
      </c>
      <c r="D37" s="423">
        <f t="shared" si="0"/>
        <v>0</v>
      </c>
      <c r="E37" s="424">
        <f t="shared" si="1"/>
        <v>0</v>
      </c>
      <c r="F37" s="425">
        <f t="shared" si="2"/>
        <v>0</v>
      </c>
      <c r="G37" s="426"/>
      <c r="H37" s="427"/>
      <c r="I37" s="428"/>
      <c r="J37" s="437"/>
    </row>
    <row r="38" spans="1:10" s="438" customFormat="1" ht="16">
      <c r="A38" s="689"/>
      <c r="B38" s="692"/>
      <c r="C38" s="404" t="s">
        <v>28</v>
      </c>
      <c r="D38" s="423">
        <f t="shared" si="0"/>
        <v>0</v>
      </c>
      <c r="E38" s="424">
        <f t="shared" si="1"/>
        <v>0</v>
      </c>
      <c r="F38" s="425">
        <f t="shared" si="2"/>
        <v>0</v>
      </c>
      <c r="G38" s="426"/>
      <c r="H38" s="427"/>
      <c r="I38" s="428"/>
      <c r="J38" s="437"/>
    </row>
    <row r="39" spans="1:10" s="438" customFormat="1" ht="16">
      <c r="A39" s="689"/>
      <c r="B39" s="692"/>
      <c r="C39" s="404" t="s">
        <v>29</v>
      </c>
      <c r="D39" s="423">
        <f t="shared" si="0"/>
        <v>0</v>
      </c>
      <c r="E39" s="424">
        <f t="shared" si="1"/>
        <v>0</v>
      </c>
      <c r="F39" s="425">
        <f t="shared" si="2"/>
        <v>0</v>
      </c>
      <c r="G39" s="426"/>
      <c r="H39" s="427"/>
      <c r="I39" s="428"/>
      <c r="J39" s="437"/>
    </row>
    <row r="40" spans="1:10" s="438" customFormat="1" ht="16">
      <c r="A40" s="689"/>
      <c r="B40" s="692"/>
      <c r="C40" s="404" t="s">
        <v>30</v>
      </c>
      <c r="D40" s="423">
        <f t="shared" si="0"/>
        <v>0</v>
      </c>
      <c r="E40" s="424">
        <f t="shared" si="1"/>
        <v>0</v>
      </c>
      <c r="F40" s="425">
        <f t="shared" si="2"/>
        <v>0</v>
      </c>
      <c r="G40" s="426"/>
      <c r="H40" s="427"/>
      <c r="I40" s="428"/>
      <c r="J40" s="437"/>
    </row>
    <row r="41" spans="1:10" s="438" customFormat="1" ht="16">
      <c r="A41" s="689"/>
      <c r="B41" s="692"/>
      <c r="C41" s="404" t="s">
        <v>31</v>
      </c>
      <c r="D41" s="423">
        <f t="shared" si="0"/>
        <v>0</v>
      </c>
      <c r="E41" s="424">
        <f t="shared" si="1"/>
        <v>0</v>
      </c>
      <c r="F41" s="425">
        <f t="shared" si="2"/>
        <v>0</v>
      </c>
      <c r="G41" s="426"/>
      <c r="H41" s="427"/>
      <c r="I41" s="428"/>
      <c r="J41" s="437"/>
    </row>
    <row r="42" spans="1:10" s="438" customFormat="1" ht="16">
      <c r="A42" s="689"/>
      <c r="B42" s="692"/>
      <c r="C42" s="404" t="s">
        <v>32</v>
      </c>
      <c r="D42" s="423">
        <f t="shared" si="0"/>
        <v>0</v>
      </c>
      <c r="E42" s="424">
        <f t="shared" si="1"/>
        <v>0</v>
      </c>
      <c r="F42" s="425">
        <f t="shared" si="2"/>
        <v>0</v>
      </c>
      <c r="G42" s="426"/>
      <c r="H42" s="427"/>
      <c r="I42" s="428"/>
      <c r="J42" s="437"/>
    </row>
    <row r="43" spans="1:10" s="438" customFormat="1" ht="16">
      <c r="A43" s="689"/>
      <c r="B43" s="692"/>
      <c r="C43" s="404" t="s">
        <v>33</v>
      </c>
      <c r="D43" s="423">
        <f t="shared" si="0"/>
        <v>0</v>
      </c>
      <c r="E43" s="424">
        <f t="shared" si="1"/>
        <v>0</v>
      </c>
      <c r="F43" s="425">
        <f t="shared" si="2"/>
        <v>0</v>
      </c>
      <c r="G43" s="426"/>
      <c r="H43" s="427"/>
      <c r="I43" s="428"/>
      <c r="J43" s="437"/>
    </row>
    <row r="44" spans="1:10" s="438" customFormat="1" ht="17" thickBot="1">
      <c r="A44" s="690"/>
      <c r="B44" s="693"/>
      <c r="C44" s="411" t="s">
        <v>34</v>
      </c>
      <c r="D44" s="429">
        <f t="shared" si="0"/>
        <v>0</v>
      </c>
      <c r="E44" s="430">
        <f t="shared" si="1"/>
        <v>0</v>
      </c>
      <c r="F44" s="431">
        <f t="shared" si="2"/>
        <v>0</v>
      </c>
      <c r="G44" s="426">
        <v>0</v>
      </c>
      <c r="H44" s="427">
        <v>0</v>
      </c>
      <c r="I44" s="434">
        <f t="shared" ref="I44:I54" si="3">H44-G44</f>
        <v>0</v>
      </c>
      <c r="J44" s="437"/>
    </row>
    <row r="45" spans="1:10" s="436" customFormat="1" ht="14.5" customHeight="1">
      <c r="A45" s="688" t="s">
        <v>370</v>
      </c>
      <c r="B45" s="691" t="s">
        <v>38</v>
      </c>
      <c r="C45" s="395" t="s">
        <v>25</v>
      </c>
      <c r="D45" s="417">
        <f t="shared" si="0"/>
        <v>0</v>
      </c>
      <c r="E45" s="418">
        <f t="shared" si="1"/>
        <v>0</v>
      </c>
      <c r="F45" s="419">
        <f t="shared" si="2"/>
        <v>0</v>
      </c>
      <c r="G45" s="420">
        <f>2*8*G5</f>
        <v>0</v>
      </c>
      <c r="H45" s="421">
        <f>G45</f>
        <v>0</v>
      </c>
      <c r="I45" s="422">
        <f t="shared" si="3"/>
        <v>0</v>
      </c>
      <c r="J45" s="435">
        <f>'Analyza citlivosti - AgendovéIS'!Q7</f>
        <v>0</v>
      </c>
    </row>
    <row r="46" spans="1:10" s="438" customFormat="1" ht="16">
      <c r="A46" s="689"/>
      <c r="B46" s="692"/>
      <c r="C46" s="404" t="s">
        <v>26</v>
      </c>
      <c r="D46" s="423">
        <f t="shared" si="0"/>
        <v>0</v>
      </c>
      <c r="E46" s="424">
        <f t="shared" si="1"/>
        <v>0</v>
      </c>
      <c r="F46" s="425">
        <f t="shared" si="2"/>
        <v>0</v>
      </c>
      <c r="G46" s="426">
        <f t="shared" ref="G46:G53" si="4">2*8*G6</f>
        <v>0</v>
      </c>
      <c r="H46" s="427">
        <f>0.5*H6</f>
        <v>0</v>
      </c>
      <c r="I46" s="428">
        <f t="shared" si="3"/>
        <v>0</v>
      </c>
      <c r="J46" s="437"/>
    </row>
    <row r="47" spans="1:10" s="438" customFormat="1" ht="16">
      <c r="A47" s="689"/>
      <c r="B47" s="692"/>
      <c r="C47" s="404" t="s">
        <v>27</v>
      </c>
      <c r="D47" s="423">
        <f t="shared" si="0"/>
        <v>0</v>
      </c>
      <c r="E47" s="424">
        <f t="shared" si="1"/>
        <v>0</v>
      </c>
      <c r="F47" s="425">
        <f t="shared" si="2"/>
        <v>0</v>
      </c>
      <c r="G47" s="426">
        <f t="shared" si="4"/>
        <v>0</v>
      </c>
      <c r="H47" s="427">
        <f t="shared" ref="H47:H53" si="5">0.5*H7</f>
        <v>0</v>
      </c>
      <c r="I47" s="428">
        <f t="shared" si="3"/>
        <v>0</v>
      </c>
      <c r="J47" s="437"/>
    </row>
    <row r="48" spans="1:10" s="438" customFormat="1" ht="16">
      <c r="A48" s="689"/>
      <c r="B48" s="692"/>
      <c r="C48" s="404" t="s">
        <v>28</v>
      </c>
      <c r="D48" s="423">
        <f t="shared" si="0"/>
        <v>0</v>
      </c>
      <c r="E48" s="424">
        <f t="shared" si="1"/>
        <v>0</v>
      </c>
      <c r="F48" s="425">
        <f t="shared" si="2"/>
        <v>0</v>
      </c>
      <c r="G48" s="426">
        <f t="shared" si="4"/>
        <v>0</v>
      </c>
      <c r="H48" s="427">
        <f t="shared" si="5"/>
        <v>0</v>
      </c>
      <c r="I48" s="428">
        <f t="shared" si="3"/>
        <v>0</v>
      </c>
      <c r="J48" s="437"/>
    </row>
    <row r="49" spans="1:10" s="438" customFormat="1" ht="16">
      <c r="A49" s="689"/>
      <c r="B49" s="692"/>
      <c r="C49" s="404" t="s">
        <v>29</v>
      </c>
      <c r="D49" s="423">
        <f t="shared" si="0"/>
        <v>0</v>
      </c>
      <c r="E49" s="424">
        <f t="shared" si="1"/>
        <v>0</v>
      </c>
      <c r="F49" s="425">
        <f t="shared" si="2"/>
        <v>0</v>
      </c>
      <c r="G49" s="426">
        <f t="shared" si="4"/>
        <v>0</v>
      </c>
      <c r="H49" s="427">
        <f t="shared" si="5"/>
        <v>0</v>
      </c>
      <c r="I49" s="428">
        <f t="shared" si="3"/>
        <v>0</v>
      </c>
      <c r="J49" s="437"/>
    </row>
    <row r="50" spans="1:10" s="438" customFormat="1" ht="16">
      <c r="A50" s="689"/>
      <c r="B50" s="692"/>
      <c r="C50" s="404" t="s">
        <v>30</v>
      </c>
      <c r="D50" s="423">
        <f t="shared" si="0"/>
        <v>0</v>
      </c>
      <c r="E50" s="424">
        <f t="shared" si="1"/>
        <v>0</v>
      </c>
      <c r="F50" s="425">
        <f t="shared" si="2"/>
        <v>0</v>
      </c>
      <c r="G50" s="426">
        <f t="shared" si="4"/>
        <v>0</v>
      </c>
      <c r="H50" s="427">
        <f t="shared" si="5"/>
        <v>0</v>
      </c>
      <c r="I50" s="428">
        <f t="shared" si="3"/>
        <v>0</v>
      </c>
      <c r="J50" s="437"/>
    </row>
    <row r="51" spans="1:10" s="438" customFormat="1" ht="16">
      <c r="A51" s="689"/>
      <c r="B51" s="692"/>
      <c r="C51" s="404" t="s">
        <v>31</v>
      </c>
      <c r="D51" s="423">
        <f t="shared" si="0"/>
        <v>0</v>
      </c>
      <c r="E51" s="424">
        <f t="shared" si="1"/>
        <v>0</v>
      </c>
      <c r="F51" s="425">
        <f t="shared" si="2"/>
        <v>0</v>
      </c>
      <c r="G51" s="426">
        <f t="shared" si="4"/>
        <v>0</v>
      </c>
      <c r="H51" s="427">
        <f t="shared" si="5"/>
        <v>0</v>
      </c>
      <c r="I51" s="428">
        <f t="shared" si="3"/>
        <v>0</v>
      </c>
      <c r="J51" s="437"/>
    </row>
    <row r="52" spans="1:10" s="438" customFormat="1" ht="16">
      <c r="A52" s="689"/>
      <c r="B52" s="692"/>
      <c r="C52" s="404" t="s">
        <v>32</v>
      </c>
      <c r="D52" s="423">
        <f t="shared" si="0"/>
        <v>0</v>
      </c>
      <c r="E52" s="424">
        <f t="shared" si="1"/>
        <v>0</v>
      </c>
      <c r="F52" s="425">
        <f t="shared" si="2"/>
        <v>0</v>
      </c>
      <c r="G52" s="426">
        <f t="shared" si="4"/>
        <v>0</v>
      </c>
      <c r="H52" s="427">
        <f t="shared" si="5"/>
        <v>0</v>
      </c>
      <c r="I52" s="428">
        <f t="shared" si="3"/>
        <v>0</v>
      </c>
      <c r="J52" s="437"/>
    </row>
    <row r="53" spans="1:10" s="438" customFormat="1" ht="16">
      <c r="A53" s="689"/>
      <c r="B53" s="692"/>
      <c r="C53" s="404" t="s">
        <v>33</v>
      </c>
      <c r="D53" s="423">
        <f t="shared" si="0"/>
        <v>0</v>
      </c>
      <c r="E53" s="424">
        <f t="shared" si="1"/>
        <v>0</v>
      </c>
      <c r="F53" s="425">
        <f t="shared" si="2"/>
        <v>0</v>
      </c>
      <c r="G53" s="426">
        <f t="shared" si="4"/>
        <v>0</v>
      </c>
      <c r="H53" s="427">
        <f t="shared" si="5"/>
        <v>0</v>
      </c>
      <c r="I53" s="428">
        <f t="shared" si="3"/>
        <v>0</v>
      </c>
      <c r="J53" s="437"/>
    </row>
    <row r="54" spans="1:10" s="438" customFormat="1" ht="17" thickBot="1">
      <c r="A54" s="690"/>
      <c r="B54" s="693"/>
      <c r="C54" s="411" t="s">
        <v>34</v>
      </c>
      <c r="D54" s="429">
        <f t="shared" si="0"/>
        <v>0</v>
      </c>
      <c r="E54" s="430">
        <f t="shared" si="1"/>
        <v>0</v>
      </c>
      <c r="F54" s="431">
        <f t="shared" si="2"/>
        <v>0</v>
      </c>
      <c r="G54" s="426">
        <v>0</v>
      </c>
      <c r="H54" s="427">
        <v>0</v>
      </c>
      <c r="I54" s="434">
        <f t="shared" si="3"/>
        <v>0</v>
      </c>
      <c r="J54" s="437"/>
    </row>
    <row r="55" spans="1:10" s="436" customFormat="1" ht="14.25" customHeight="1">
      <c r="A55" s="689" t="s">
        <v>39</v>
      </c>
      <c r="B55" s="692" t="s">
        <v>13</v>
      </c>
      <c r="C55" s="404" t="s">
        <v>25</v>
      </c>
      <c r="D55" s="396">
        <f t="shared" si="0"/>
        <v>0</v>
      </c>
      <c r="E55" s="397">
        <f t="shared" si="1"/>
        <v>0</v>
      </c>
      <c r="F55" s="398">
        <f t="shared" si="2"/>
        <v>0</v>
      </c>
      <c r="G55" s="399"/>
      <c r="H55" s="400"/>
      <c r="I55" s="401">
        <f t="shared" ref="I55:I64" si="6">H55-G55</f>
        <v>0</v>
      </c>
      <c r="J55" s="435"/>
    </row>
    <row r="56" spans="1:10" s="438" customFormat="1" ht="16">
      <c r="A56" s="689"/>
      <c r="B56" s="692"/>
      <c r="C56" s="404" t="s">
        <v>26</v>
      </c>
      <c r="D56" s="405">
        <f t="shared" si="0"/>
        <v>0</v>
      </c>
      <c r="E56" s="406">
        <f t="shared" si="1"/>
        <v>0</v>
      </c>
      <c r="F56" s="407">
        <f t="shared" si="2"/>
        <v>0</v>
      </c>
      <c r="G56" s="408"/>
      <c r="H56" s="409"/>
      <c r="I56" s="410">
        <f t="shared" si="6"/>
        <v>0</v>
      </c>
      <c r="J56" s="437"/>
    </row>
    <row r="57" spans="1:10" s="438" customFormat="1" ht="16">
      <c r="A57" s="689"/>
      <c r="B57" s="692"/>
      <c r="C57" s="404" t="s">
        <v>27</v>
      </c>
      <c r="D57" s="405">
        <f t="shared" si="0"/>
        <v>0</v>
      </c>
      <c r="E57" s="406">
        <f t="shared" si="1"/>
        <v>135000</v>
      </c>
      <c r="F57" s="407">
        <f t="shared" si="2"/>
        <v>135000</v>
      </c>
      <c r="G57" s="408"/>
      <c r="H57" s="614">
        <f>500*3*90</f>
        <v>135000</v>
      </c>
      <c r="I57" s="410">
        <f>H57-G57</f>
        <v>135000</v>
      </c>
      <c r="J57" s="437"/>
    </row>
    <row r="58" spans="1:10" s="438" customFormat="1" ht="16">
      <c r="A58" s="689"/>
      <c r="B58" s="692"/>
      <c r="C58" s="404" t="s">
        <v>28</v>
      </c>
      <c r="D58" s="405">
        <f t="shared" si="0"/>
        <v>0</v>
      </c>
      <c r="E58" s="406">
        <f t="shared" si="1"/>
        <v>405000</v>
      </c>
      <c r="F58" s="407">
        <f t="shared" si="2"/>
        <v>405000</v>
      </c>
      <c r="G58" s="408"/>
      <c r="H58" s="614">
        <f>1000*1.5*3*90</f>
        <v>405000</v>
      </c>
      <c r="I58" s="410">
        <f>H58-G58</f>
        <v>405000</v>
      </c>
      <c r="J58" s="437"/>
    </row>
    <row r="59" spans="1:10" s="438" customFormat="1" ht="16">
      <c r="A59" s="689"/>
      <c r="B59" s="692"/>
      <c r="C59" s="404" t="s">
        <v>29</v>
      </c>
      <c r="D59" s="405">
        <f t="shared" si="0"/>
        <v>0</v>
      </c>
      <c r="E59" s="406">
        <f t="shared" si="1"/>
        <v>607500</v>
      </c>
      <c r="F59" s="407">
        <f t="shared" si="2"/>
        <v>607500</v>
      </c>
      <c r="G59" s="408"/>
      <c r="H59" s="614">
        <f>1500*1.5*3*90</f>
        <v>607500</v>
      </c>
      <c r="I59" s="410">
        <f>H59-G59</f>
        <v>607500</v>
      </c>
      <c r="J59" s="437"/>
    </row>
    <row r="60" spans="1:10" s="438" customFormat="1" ht="16">
      <c r="A60" s="689"/>
      <c r="B60" s="692"/>
      <c r="C60" s="404" t="s">
        <v>30</v>
      </c>
      <c r="D60" s="405">
        <f t="shared" si="0"/>
        <v>0</v>
      </c>
      <c r="E60" s="406">
        <f t="shared" si="1"/>
        <v>810000</v>
      </c>
      <c r="F60" s="407">
        <f t="shared" si="2"/>
        <v>810000</v>
      </c>
      <c r="G60" s="408"/>
      <c r="H60" s="614">
        <f>1500*2*3*90</f>
        <v>810000</v>
      </c>
      <c r="I60" s="410">
        <f>H60-G60</f>
        <v>810000</v>
      </c>
      <c r="J60" s="437"/>
    </row>
    <row r="61" spans="1:10" s="438" customFormat="1" ht="16">
      <c r="A61" s="689"/>
      <c r="B61" s="692"/>
      <c r="C61" s="404" t="s">
        <v>31</v>
      </c>
      <c r="D61" s="405">
        <f t="shared" si="0"/>
        <v>0</v>
      </c>
      <c r="E61" s="406">
        <f t="shared" si="1"/>
        <v>810000</v>
      </c>
      <c r="F61" s="407">
        <f t="shared" si="2"/>
        <v>810000</v>
      </c>
      <c r="G61" s="408"/>
      <c r="H61" s="614">
        <f>1500*2*3*90</f>
        <v>810000</v>
      </c>
      <c r="I61" s="410">
        <f>H61-G61</f>
        <v>810000</v>
      </c>
      <c r="J61" s="437"/>
    </row>
    <row r="62" spans="1:10" s="438" customFormat="1" ht="16">
      <c r="A62" s="689"/>
      <c r="B62" s="692"/>
      <c r="C62" s="404" t="s">
        <v>32</v>
      </c>
      <c r="D62" s="405">
        <f t="shared" si="0"/>
        <v>0</v>
      </c>
      <c r="E62" s="406">
        <f t="shared" si="1"/>
        <v>1012500</v>
      </c>
      <c r="F62" s="407">
        <f t="shared" si="2"/>
        <v>1012500</v>
      </c>
      <c r="G62" s="408"/>
      <c r="H62" s="614">
        <f>1500*2.5*3*90</f>
        <v>1012500</v>
      </c>
      <c r="I62" s="410">
        <f t="shared" si="6"/>
        <v>1012500</v>
      </c>
      <c r="J62" s="437"/>
    </row>
    <row r="63" spans="1:10" s="438" customFormat="1" ht="16">
      <c r="A63" s="689"/>
      <c r="B63" s="692"/>
      <c r="C63" s="404" t="s">
        <v>33</v>
      </c>
      <c r="D63" s="405">
        <f t="shared" si="0"/>
        <v>0</v>
      </c>
      <c r="E63" s="406">
        <f t="shared" si="1"/>
        <v>1012500</v>
      </c>
      <c r="F63" s="407">
        <f t="shared" si="2"/>
        <v>1012500</v>
      </c>
      <c r="G63" s="408"/>
      <c r="H63" s="614">
        <f t="shared" ref="H63:H64" si="7">1500*2.5*3*90</f>
        <v>1012500</v>
      </c>
      <c r="I63" s="410">
        <f t="shared" si="6"/>
        <v>1012500</v>
      </c>
      <c r="J63" s="437"/>
    </row>
    <row r="64" spans="1:10" s="440" customFormat="1" ht="17" thickBot="1">
      <c r="A64" s="690"/>
      <c r="B64" s="693"/>
      <c r="C64" s="411" t="s">
        <v>34</v>
      </c>
      <c r="D64" s="412">
        <f t="shared" si="0"/>
        <v>0</v>
      </c>
      <c r="E64" s="413">
        <f t="shared" si="1"/>
        <v>1012500</v>
      </c>
      <c r="F64" s="414">
        <f t="shared" si="2"/>
        <v>1012500</v>
      </c>
      <c r="G64" s="415"/>
      <c r="H64" s="614">
        <f t="shared" si="7"/>
        <v>1012500</v>
      </c>
      <c r="I64" s="416">
        <f t="shared" si="6"/>
        <v>1012500</v>
      </c>
      <c r="J64" s="439"/>
    </row>
    <row r="65" spans="1:10" s="438" customFormat="1" ht="17" thickBot="1">
      <c r="A65" s="441"/>
      <c r="B65" s="442"/>
      <c r="C65" s="443"/>
      <c r="D65" s="442"/>
      <c r="E65" s="442"/>
      <c r="F65" s="444" t="s">
        <v>107</v>
      </c>
      <c r="G65" s="445"/>
      <c r="H65" s="445"/>
      <c r="I65" s="446"/>
      <c r="J65" s="437"/>
    </row>
    <row r="66" spans="1:10" s="438" customFormat="1" ht="16">
      <c r="A66" s="703" t="s">
        <v>321</v>
      </c>
      <c r="B66" s="705" t="s">
        <v>37</v>
      </c>
      <c r="C66" s="447" t="s">
        <v>25</v>
      </c>
      <c r="D66" s="448">
        <f>G66</f>
        <v>0</v>
      </c>
      <c r="E66" s="449">
        <f>H66</f>
        <v>0</v>
      </c>
      <c r="F66" s="450">
        <f>I66</f>
        <v>0</v>
      </c>
      <c r="G66" s="451">
        <f t="shared" ref="G66:G75" si="8">G5</f>
        <v>0</v>
      </c>
      <c r="H66" s="452">
        <f t="shared" ref="H66:H75" si="9">H5*(1+$J$66)</f>
        <v>0</v>
      </c>
      <c r="I66" s="453">
        <f>H66-G66</f>
        <v>0</v>
      </c>
      <c r="J66" s="454">
        <f>'Analyza citlivosti - AgendovéIS'!K7</f>
        <v>0</v>
      </c>
    </row>
    <row r="67" spans="1:10" s="438" customFormat="1" ht="16">
      <c r="A67" s="703"/>
      <c r="B67" s="705"/>
      <c r="C67" s="447" t="s">
        <v>26</v>
      </c>
      <c r="D67" s="448">
        <f t="shared" ref="D67:D130" si="10">G67</f>
        <v>0</v>
      </c>
      <c r="E67" s="449">
        <f t="shared" ref="E67:E130" si="11">H67</f>
        <v>0</v>
      </c>
      <c r="F67" s="450">
        <f t="shared" ref="F67:F130" si="12">I67</f>
        <v>0</v>
      </c>
      <c r="G67" s="455">
        <f t="shared" si="8"/>
        <v>0</v>
      </c>
      <c r="H67" s="456">
        <f t="shared" si="9"/>
        <v>0</v>
      </c>
      <c r="I67" s="410">
        <f t="shared" ref="I67:I75" si="13">H67-G67</f>
        <v>0</v>
      </c>
      <c r="J67" s="437"/>
    </row>
    <row r="68" spans="1:10" s="438" customFormat="1" ht="16">
      <c r="A68" s="703"/>
      <c r="B68" s="705"/>
      <c r="C68" s="447" t="s">
        <v>27</v>
      </c>
      <c r="D68" s="448">
        <f t="shared" si="10"/>
        <v>0</v>
      </c>
      <c r="E68" s="449">
        <f t="shared" si="11"/>
        <v>0</v>
      </c>
      <c r="F68" s="450">
        <f t="shared" si="12"/>
        <v>0</v>
      </c>
      <c r="G68" s="455">
        <f t="shared" si="8"/>
        <v>0</v>
      </c>
      <c r="H68" s="456">
        <f t="shared" si="9"/>
        <v>0</v>
      </c>
      <c r="I68" s="410">
        <f t="shared" si="13"/>
        <v>0</v>
      </c>
      <c r="J68" s="437"/>
    </row>
    <row r="69" spans="1:10" s="438" customFormat="1" ht="16">
      <c r="A69" s="703"/>
      <c r="B69" s="705"/>
      <c r="C69" s="447" t="s">
        <v>28</v>
      </c>
      <c r="D69" s="448">
        <f t="shared" si="10"/>
        <v>0</v>
      </c>
      <c r="E69" s="449">
        <f t="shared" si="11"/>
        <v>0</v>
      </c>
      <c r="F69" s="450">
        <f t="shared" si="12"/>
        <v>0</v>
      </c>
      <c r="G69" s="455">
        <f t="shared" si="8"/>
        <v>0</v>
      </c>
      <c r="H69" s="456">
        <f t="shared" si="9"/>
        <v>0</v>
      </c>
      <c r="I69" s="410">
        <f t="shared" si="13"/>
        <v>0</v>
      </c>
      <c r="J69" s="437"/>
    </row>
    <row r="70" spans="1:10" s="438" customFormat="1" ht="16">
      <c r="A70" s="703"/>
      <c r="B70" s="705"/>
      <c r="C70" s="447" t="s">
        <v>29</v>
      </c>
      <c r="D70" s="448">
        <f t="shared" si="10"/>
        <v>0</v>
      </c>
      <c r="E70" s="449">
        <f t="shared" si="11"/>
        <v>0</v>
      </c>
      <c r="F70" s="450">
        <f t="shared" si="12"/>
        <v>0</v>
      </c>
      <c r="G70" s="455">
        <f t="shared" si="8"/>
        <v>0</v>
      </c>
      <c r="H70" s="456">
        <f t="shared" si="9"/>
        <v>0</v>
      </c>
      <c r="I70" s="410">
        <f t="shared" si="13"/>
        <v>0</v>
      </c>
      <c r="J70" s="437"/>
    </row>
    <row r="71" spans="1:10" s="438" customFormat="1" ht="16">
      <c r="A71" s="703"/>
      <c r="B71" s="705"/>
      <c r="C71" s="447" t="s">
        <v>30</v>
      </c>
      <c r="D71" s="448">
        <f t="shared" si="10"/>
        <v>0</v>
      </c>
      <c r="E71" s="449">
        <f t="shared" si="11"/>
        <v>0</v>
      </c>
      <c r="F71" s="450">
        <f t="shared" si="12"/>
        <v>0</v>
      </c>
      <c r="G71" s="455">
        <f t="shared" si="8"/>
        <v>0</v>
      </c>
      <c r="H71" s="456">
        <f t="shared" si="9"/>
        <v>0</v>
      </c>
      <c r="I71" s="410">
        <f t="shared" si="13"/>
        <v>0</v>
      </c>
      <c r="J71" s="437"/>
    </row>
    <row r="72" spans="1:10" s="438" customFormat="1" ht="16">
      <c r="A72" s="703"/>
      <c r="B72" s="705"/>
      <c r="C72" s="447" t="s">
        <v>31</v>
      </c>
      <c r="D72" s="448">
        <f t="shared" si="10"/>
        <v>0</v>
      </c>
      <c r="E72" s="449">
        <f t="shared" si="11"/>
        <v>0</v>
      </c>
      <c r="F72" s="450">
        <f t="shared" si="12"/>
        <v>0</v>
      </c>
      <c r="G72" s="455">
        <f t="shared" si="8"/>
        <v>0</v>
      </c>
      <c r="H72" s="456">
        <f t="shared" si="9"/>
        <v>0</v>
      </c>
      <c r="I72" s="410">
        <f t="shared" si="13"/>
        <v>0</v>
      </c>
      <c r="J72" s="437"/>
    </row>
    <row r="73" spans="1:10" s="438" customFormat="1" ht="16">
      <c r="A73" s="703"/>
      <c r="B73" s="705"/>
      <c r="C73" s="447" t="s">
        <v>32</v>
      </c>
      <c r="D73" s="448">
        <f t="shared" si="10"/>
        <v>0</v>
      </c>
      <c r="E73" s="449">
        <f t="shared" si="11"/>
        <v>0</v>
      </c>
      <c r="F73" s="450">
        <f t="shared" si="12"/>
        <v>0</v>
      </c>
      <c r="G73" s="455">
        <f t="shared" si="8"/>
        <v>0</v>
      </c>
      <c r="H73" s="456">
        <f t="shared" si="9"/>
        <v>0</v>
      </c>
      <c r="I73" s="410">
        <f t="shared" si="13"/>
        <v>0</v>
      </c>
      <c r="J73" s="437"/>
    </row>
    <row r="74" spans="1:10" s="438" customFormat="1" ht="16">
      <c r="A74" s="703"/>
      <c r="B74" s="705"/>
      <c r="C74" s="447" t="s">
        <v>33</v>
      </c>
      <c r="D74" s="448">
        <f t="shared" si="10"/>
        <v>0</v>
      </c>
      <c r="E74" s="449">
        <f t="shared" si="11"/>
        <v>0</v>
      </c>
      <c r="F74" s="450">
        <f t="shared" si="12"/>
        <v>0</v>
      </c>
      <c r="G74" s="455">
        <f t="shared" si="8"/>
        <v>0</v>
      </c>
      <c r="H74" s="456">
        <f t="shared" si="9"/>
        <v>0</v>
      </c>
      <c r="I74" s="410">
        <f t="shared" si="13"/>
        <v>0</v>
      </c>
      <c r="J74" s="437"/>
    </row>
    <row r="75" spans="1:10" s="438" customFormat="1" ht="17" thickBot="1">
      <c r="A75" s="704"/>
      <c r="B75" s="706"/>
      <c r="C75" s="457" t="s">
        <v>34</v>
      </c>
      <c r="D75" s="458">
        <f t="shared" si="10"/>
        <v>0</v>
      </c>
      <c r="E75" s="459">
        <f t="shared" si="11"/>
        <v>0</v>
      </c>
      <c r="F75" s="460">
        <f t="shared" si="12"/>
        <v>0</v>
      </c>
      <c r="G75" s="461">
        <f t="shared" si="8"/>
        <v>0</v>
      </c>
      <c r="H75" s="462">
        <f t="shared" si="9"/>
        <v>0</v>
      </c>
      <c r="I75" s="416">
        <f t="shared" si="13"/>
        <v>0</v>
      </c>
      <c r="J75" s="437"/>
    </row>
    <row r="76" spans="1:10" ht="16">
      <c r="A76" s="703" t="s">
        <v>191</v>
      </c>
      <c r="B76" s="705" t="s">
        <v>13</v>
      </c>
      <c r="C76" s="447" t="s">
        <v>25</v>
      </c>
      <c r="D76" s="448">
        <f t="shared" si="10"/>
        <v>0</v>
      </c>
      <c r="E76" s="449">
        <f t="shared" si="11"/>
        <v>0</v>
      </c>
      <c r="F76" s="450">
        <f t="shared" si="12"/>
        <v>0</v>
      </c>
      <c r="G76" s="463">
        <f>G5*G35*Faktory!$D$8</f>
        <v>0</v>
      </c>
      <c r="H76" s="464">
        <f>((H66*G35)-(H66*((G35-H35)*(1+$J$35))))*Faktory!$D$8</f>
        <v>0</v>
      </c>
      <c r="I76" s="401">
        <f>H76-G76</f>
        <v>0</v>
      </c>
    </row>
    <row r="77" spans="1:10" ht="16">
      <c r="A77" s="703"/>
      <c r="B77" s="705"/>
      <c r="C77" s="447" t="s">
        <v>26</v>
      </c>
      <c r="D77" s="448">
        <f t="shared" si="10"/>
        <v>0</v>
      </c>
      <c r="E77" s="449">
        <f t="shared" si="11"/>
        <v>0</v>
      </c>
      <c r="F77" s="450">
        <f t="shared" si="12"/>
        <v>0</v>
      </c>
      <c r="G77" s="455">
        <f>G6*G36*Faktory!$D$8</f>
        <v>0</v>
      </c>
      <c r="H77" s="456">
        <f>((H67*G36)-(H67*((G36-H36)*(1+$J$35))))*Faktory!$D$8</f>
        <v>0</v>
      </c>
      <c r="I77" s="410">
        <f t="shared" ref="I77:I95" si="14">H77-G77</f>
        <v>0</v>
      </c>
    </row>
    <row r="78" spans="1:10" ht="16">
      <c r="A78" s="703"/>
      <c r="B78" s="705"/>
      <c r="C78" s="447" t="s">
        <v>27</v>
      </c>
      <c r="D78" s="448">
        <f t="shared" si="10"/>
        <v>0</v>
      </c>
      <c r="E78" s="449">
        <f t="shared" si="11"/>
        <v>0</v>
      </c>
      <c r="F78" s="450">
        <f t="shared" si="12"/>
        <v>0</v>
      </c>
      <c r="G78" s="455">
        <f>G7*G37*Faktory!$D$8</f>
        <v>0</v>
      </c>
      <c r="H78" s="456">
        <f>((H68*G37)-(H68*((G37-H37)*(1+$J$35))))*Faktory!$D$8</f>
        <v>0</v>
      </c>
      <c r="I78" s="410">
        <f t="shared" si="14"/>
        <v>0</v>
      </c>
    </row>
    <row r="79" spans="1:10" ht="16">
      <c r="A79" s="703"/>
      <c r="B79" s="705"/>
      <c r="C79" s="447" t="s">
        <v>28</v>
      </c>
      <c r="D79" s="448">
        <f t="shared" si="10"/>
        <v>0</v>
      </c>
      <c r="E79" s="449">
        <f t="shared" si="11"/>
        <v>0</v>
      </c>
      <c r="F79" s="450">
        <f t="shared" si="12"/>
        <v>0</v>
      </c>
      <c r="G79" s="455">
        <f>G8*G38*Faktory!$D$8</f>
        <v>0</v>
      </c>
      <c r="H79" s="456">
        <f>((H69*G38)-(H69*((G38-H38)*(1+$J$35))))*Faktory!$D$8</f>
        <v>0</v>
      </c>
      <c r="I79" s="410">
        <f t="shared" si="14"/>
        <v>0</v>
      </c>
    </row>
    <row r="80" spans="1:10" ht="16">
      <c r="A80" s="703"/>
      <c r="B80" s="705"/>
      <c r="C80" s="447" t="s">
        <v>29</v>
      </c>
      <c r="D80" s="448">
        <f t="shared" si="10"/>
        <v>0</v>
      </c>
      <c r="E80" s="449">
        <f t="shared" si="11"/>
        <v>0</v>
      </c>
      <c r="F80" s="450">
        <f t="shared" si="12"/>
        <v>0</v>
      </c>
      <c r="G80" s="455">
        <f>G9*G39*Faktory!$D$8</f>
        <v>0</v>
      </c>
      <c r="H80" s="456">
        <f>((H70*G39)-(H70*((G39-H39)*(1+$J$35))))*Faktory!$D$8</f>
        <v>0</v>
      </c>
      <c r="I80" s="410">
        <f t="shared" si="14"/>
        <v>0</v>
      </c>
    </row>
    <row r="81" spans="1:9" ht="16">
      <c r="A81" s="703"/>
      <c r="B81" s="705"/>
      <c r="C81" s="447" t="s">
        <v>30</v>
      </c>
      <c r="D81" s="448">
        <f t="shared" si="10"/>
        <v>0</v>
      </c>
      <c r="E81" s="449">
        <f t="shared" si="11"/>
        <v>0</v>
      </c>
      <c r="F81" s="450">
        <f t="shared" si="12"/>
        <v>0</v>
      </c>
      <c r="G81" s="455">
        <f>G10*G40*Faktory!$D$8</f>
        <v>0</v>
      </c>
      <c r="H81" s="456">
        <f>((H71*G40)-(H71*((G40-H40)*(1+$J$35))))*Faktory!$D$8</f>
        <v>0</v>
      </c>
      <c r="I81" s="410">
        <f t="shared" si="14"/>
        <v>0</v>
      </c>
    </row>
    <row r="82" spans="1:9" ht="16">
      <c r="A82" s="703"/>
      <c r="B82" s="705"/>
      <c r="C82" s="447" t="s">
        <v>31</v>
      </c>
      <c r="D82" s="448">
        <f t="shared" si="10"/>
        <v>0</v>
      </c>
      <c r="E82" s="449">
        <f t="shared" si="11"/>
        <v>0</v>
      </c>
      <c r="F82" s="450">
        <f t="shared" si="12"/>
        <v>0</v>
      </c>
      <c r="G82" s="455">
        <f>G11*G41*Faktory!$D$8</f>
        <v>0</v>
      </c>
      <c r="H82" s="456">
        <f>((H72*G41)-(H72*((G41-H41)*(1+$J$35))))*Faktory!$D$8</f>
        <v>0</v>
      </c>
      <c r="I82" s="410">
        <f t="shared" si="14"/>
        <v>0</v>
      </c>
    </row>
    <row r="83" spans="1:9" ht="16">
      <c r="A83" s="703"/>
      <c r="B83" s="705"/>
      <c r="C83" s="447" t="s">
        <v>32</v>
      </c>
      <c r="D83" s="448">
        <f t="shared" si="10"/>
        <v>0</v>
      </c>
      <c r="E83" s="449">
        <f t="shared" si="11"/>
        <v>0</v>
      </c>
      <c r="F83" s="450">
        <f t="shared" si="12"/>
        <v>0</v>
      </c>
      <c r="G83" s="455">
        <f>G12*G42*Faktory!$D$8</f>
        <v>0</v>
      </c>
      <c r="H83" s="456">
        <f>((H73*G42)-(H73*((G42-H42)*(1+$J$35))))*Faktory!$D$8</f>
        <v>0</v>
      </c>
      <c r="I83" s="410">
        <f t="shared" si="14"/>
        <v>0</v>
      </c>
    </row>
    <row r="84" spans="1:9" ht="16">
      <c r="A84" s="703"/>
      <c r="B84" s="705"/>
      <c r="C84" s="447" t="s">
        <v>33</v>
      </c>
      <c r="D84" s="448">
        <f t="shared" si="10"/>
        <v>0</v>
      </c>
      <c r="E84" s="449">
        <f t="shared" si="11"/>
        <v>0</v>
      </c>
      <c r="F84" s="450">
        <f t="shared" si="12"/>
        <v>0</v>
      </c>
      <c r="G84" s="455">
        <f>G13*G43*Faktory!$D$8</f>
        <v>0</v>
      </c>
      <c r="H84" s="456">
        <f>((H74*G43)-(H74*((G43-H43)*(1+$J$35))))*Faktory!$D$8</f>
        <v>0</v>
      </c>
      <c r="I84" s="410">
        <f t="shared" si="14"/>
        <v>0</v>
      </c>
    </row>
    <row r="85" spans="1:9" ht="17" thickBot="1">
      <c r="A85" s="704"/>
      <c r="B85" s="706"/>
      <c r="C85" s="457" t="s">
        <v>34</v>
      </c>
      <c r="D85" s="458">
        <f t="shared" si="10"/>
        <v>0</v>
      </c>
      <c r="E85" s="459">
        <f t="shared" si="11"/>
        <v>0</v>
      </c>
      <c r="F85" s="460">
        <f t="shared" si="12"/>
        <v>0</v>
      </c>
      <c r="G85" s="461">
        <f>G14*G44*Faktory!$D$8</f>
        <v>0</v>
      </c>
      <c r="H85" s="462">
        <f>((H75*G44)-(H75*((G44-H44)*(1+$J$35))))*Faktory!$D$8</f>
        <v>0</v>
      </c>
      <c r="I85" s="416">
        <f t="shared" si="14"/>
        <v>0</v>
      </c>
    </row>
    <row r="86" spans="1:9" ht="16">
      <c r="A86" s="703" t="s">
        <v>186</v>
      </c>
      <c r="B86" s="705" t="s">
        <v>187</v>
      </c>
      <c r="C86" s="447" t="s">
        <v>25</v>
      </c>
      <c r="D86" s="466">
        <f t="shared" si="10"/>
        <v>0</v>
      </c>
      <c r="E86" s="467">
        <f t="shared" si="11"/>
        <v>0</v>
      </c>
      <c r="F86" s="468">
        <f t="shared" si="12"/>
        <v>0</v>
      </c>
      <c r="G86" s="469">
        <f t="shared" ref="G86:H95" si="15">(G5*G35)/12/21/7.5</f>
        <v>0</v>
      </c>
      <c r="H86" s="470">
        <f t="shared" si="15"/>
        <v>0</v>
      </c>
      <c r="I86" s="471">
        <f t="shared" si="14"/>
        <v>0</v>
      </c>
    </row>
    <row r="87" spans="1:9" ht="16">
      <c r="A87" s="703"/>
      <c r="B87" s="705"/>
      <c r="C87" s="447" t="s">
        <v>26</v>
      </c>
      <c r="D87" s="466">
        <f t="shared" si="10"/>
        <v>0</v>
      </c>
      <c r="E87" s="467">
        <f t="shared" si="11"/>
        <v>0</v>
      </c>
      <c r="F87" s="468">
        <f t="shared" si="12"/>
        <v>0</v>
      </c>
      <c r="G87" s="472">
        <f t="shared" si="15"/>
        <v>0</v>
      </c>
      <c r="H87" s="473">
        <f t="shared" si="15"/>
        <v>0</v>
      </c>
      <c r="I87" s="474">
        <f t="shared" si="14"/>
        <v>0</v>
      </c>
    </row>
    <row r="88" spans="1:9" ht="16">
      <c r="A88" s="703"/>
      <c r="B88" s="705"/>
      <c r="C88" s="447" t="s">
        <v>27</v>
      </c>
      <c r="D88" s="466">
        <f t="shared" si="10"/>
        <v>0</v>
      </c>
      <c r="E88" s="467">
        <f t="shared" si="11"/>
        <v>0</v>
      </c>
      <c r="F88" s="468">
        <f t="shared" si="12"/>
        <v>0</v>
      </c>
      <c r="G88" s="472">
        <f t="shared" si="15"/>
        <v>0</v>
      </c>
      <c r="H88" s="473">
        <f t="shared" si="15"/>
        <v>0</v>
      </c>
      <c r="I88" s="474">
        <f t="shared" si="14"/>
        <v>0</v>
      </c>
    </row>
    <row r="89" spans="1:9" ht="16">
      <c r="A89" s="703"/>
      <c r="B89" s="705"/>
      <c r="C89" s="447" t="s">
        <v>28</v>
      </c>
      <c r="D89" s="466">
        <f t="shared" si="10"/>
        <v>0</v>
      </c>
      <c r="E89" s="467">
        <f t="shared" si="11"/>
        <v>0</v>
      </c>
      <c r="F89" s="468">
        <f t="shared" si="12"/>
        <v>0</v>
      </c>
      <c r="G89" s="472">
        <f t="shared" si="15"/>
        <v>0</v>
      </c>
      <c r="H89" s="473">
        <f t="shared" si="15"/>
        <v>0</v>
      </c>
      <c r="I89" s="474">
        <f t="shared" si="14"/>
        <v>0</v>
      </c>
    </row>
    <row r="90" spans="1:9" ht="16">
      <c r="A90" s="703"/>
      <c r="B90" s="705"/>
      <c r="C90" s="447" t="s">
        <v>29</v>
      </c>
      <c r="D90" s="466">
        <f t="shared" si="10"/>
        <v>0</v>
      </c>
      <c r="E90" s="467">
        <f t="shared" si="11"/>
        <v>0</v>
      </c>
      <c r="F90" s="468">
        <f t="shared" si="12"/>
        <v>0</v>
      </c>
      <c r="G90" s="472">
        <f t="shared" si="15"/>
        <v>0</v>
      </c>
      <c r="H90" s="473">
        <f t="shared" si="15"/>
        <v>0</v>
      </c>
      <c r="I90" s="474">
        <f t="shared" si="14"/>
        <v>0</v>
      </c>
    </row>
    <row r="91" spans="1:9" ht="16">
      <c r="A91" s="703"/>
      <c r="B91" s="705"/>
      <c r="C91" s="447" t="s">
        <v>30</v>
      </c>
      <c r="D91" s="466">
        <f t="shared" si="10"/>
        <v>0</v>
      </c>
      <c r="E91" s="467">
        <f t="shared" si="11"/>
        <v>0</v>
      </c>
      <c r="F91" s="468">
        <f t="shared" si="12"/>
        <v>0</v>
      </c>
      <c r="G91" s="472">
        <f t="shared" si="15"/>
        <v>0</v>
      </c>
      <c r="H91" s="473">
        <f t="shared" si="15"/>
        <v>0</v>
      </c>
      <c r="I91" s="474">
        <f t="shared" si="14"/>
        <v>0</v>
      </c>
    </row>
    <row r="92" spans="1:9" ht="16">
      <c r="A92" s="703"/>
      <c r="B92" s="705"/>
      <c r="C92" s="447" t="s">
        <v>31</v>
      </c>
      <c r="D92" s="466">
        <f t="shared" si="10"/>
        <v>0</v>
      </c>
      <c r="E92" s="467">
        <f t="shared" si="11"/>
        <v>0</v>
      </c>
      <c r="F92" s="468">
        <f t="shared" si="12"/>
        <v>0</v>
      </c>
      <c r="G92" s="472">
        <f t="shared" si="15"/>
        <v>0</v>
      </c>
      <c r="H92" s="473">
        <f t="shared" si="15"/>
        <v>0</v>
      </c>
      <c r="I92" s="474">
        <f t="shared" si="14"/>
        <v>0</v>
      </c>
    </row>
    <row r="93" spans="1:9" ht="16">
      <c r="A93" s="703"/>
      <c r="B93" s="705"/>
      <c r="C93" s="447" t="s">
        <v>32</v>
      </c>
      <c r="D93" s="466">
        <f t="shared" si="10"/>
        <v>0</v>
      </c>
      <c r="E93" s="467">
        <f t="shared" si="11"/>
        <v>0</v>
      </c>
      <c r="F93" s="468">
        <f t="shared" si="12"/>
        <v>0</v>
      </c>
      <c r="G93" s="472">
        <f t="shared" si="15"/>
        <v>0</v>
      </c>
      <c r="H93" s="473">
        <f t="shared" si="15"/>
        <v>0</v>
      </c>
      <c r="I93" s="474">
        <f t="shared" si="14"/>
        <v>0</v>
      </c>
    </row>
    <row r="94" spans="1:9" ht="16">
      <c r="A94" s="703"/>
      <c r="B94" s="705"/>
      <c r="C94" s="447" t="s">
        <v>33</v>
      </c>
      <c r="D94" s="466">
        <f t="shared" si="10"/>
        <v>0</v>
      </c>
      <c r="E94" s="467">
        <f t="shared" si="11"/>
        <v>0</v>
      </c>
      <c r="F94" s="468">
        <f t="shared" si="12"/>
        <v>0</v>
      </c>
      <c r="G94" s="472">
        <f t="shared" si="15"/>
        <v>0</v>
      </c>
      <c r="H94" s="473">
        <f t="shared" si="15"/>
        <v>0</v>
      </c>
      <c r="I94" s="474">
        <f t="shared" si="14"/>
        <v>0</v>
      </c>
    </row>
    <row r="95" spans="1:9" ht="17" thickBot="1">
      <c r="A95" s="704"/>
      <c r="B95" s="706"/>
      <c r="C95" s="457" t="s">
        <v>34</v>
      </c>
      <c r="D95" s="475">
        <f t="shared" si="10"/>
        <v>0</v>
      </c>
      <c r="E95" s="476">
        <f t="shared" si="11"/>
        <v>0</v>
      </c>
      <c r="F95" s="477">
        <f t="shared" si="12"/>
        <v>0</v>
      </c>
      <c r="G95" s="478">
        <f t="shared" si="15"/>
        <v>0</v>
      </c>
      <c r="H95" s="479">
        <f t="shared" si="15"/>
        <v>0</v>
      </c>
      <c r="I95" s="480">
        <f t="shared" si="14"/>
        <v>0</v>
      </c>
    </row>
    <row r="96" spans="1:9" ht="16">
      <c r="A96" s="703" t="s">
        <v>190</v>
      </c>
      <c r="B96" s="705" t="s">
        <v>13</v>
      </c>
      <c r="C96" s="447" t="s">
        <v>25</v>
      </c>
      <c r="D96" s="448">
        <f t="shared" si="10"/>
        <v>0</v>
      </c>
      <c r="E96" s="449">
        <f t="shared" si="11"/>
        <v>0</v>
      </c>
      <c r="F96" s="450">
        <f t="shared" si="12"/>
        <v>0</v>
      </c>
      <c r="G96" s="463">
        <v>0</v>
      </c>
      <c r="H96" s="464">
        <f>(G66+I66/2)*((G45-H45)*(1+$J$45))*Faktory!$D$10</f>
        <v>0</v>
      </c>
      <c r="I96" s="401">
        <f>H96</f>
        <v>0</v>
      </c>
    </row>
    <row r="97" spans="1:9" ht="16">
      <c r="A97" s="703"/>
      <c r="B97" s="705"/>
      <c r="C97" s="447" t="s">
        <v>26</v>
      </c>
      <c r="D97" s="448">
        <f t="shared" si="10"/>
        <v>0</v>
      </c>
      <c r="E97" s="449">
        <f t="shared" si="11"/>
        <v>0</v>
      </c>
      <c r="F97" s="450">
        <f t="shared" si="12"/>
        <v>0</v>
      </c>
      <c r="G97" s="455">
        <v>0</v>
      </c>
      <c r="H97" s="456">
        <f>(G67+I67/2)*((G46-H46)*(1+$J$45))*Faktory!$D$10</f>
        <v>0</v>
      </c>
      <c r="I97" s="410">
        <f t="shared" ref="I97:I105" si="16">H97</f>
        <v>0</v>
      </c>
    </row>
    <row r="98" spans="1:9" ht="16">
      <c r="A98" s="703"/>
      <c r="B98" s="705"/>
      <c r="C98" s="447" t="s">
        <v>27</v>
      </c>
      <c r="D98" s="448">
        <f t="shared" si="10"/>
        <v>0</v>
      </c>
      <c r="E98" s="449">
        <f t="shared" si="11"/>
        <v>0</v>
      </c>
      <c r="F98" s="450">
        <f t="shared" si="12"/>
        <v>0</v>
      </c>
      <c r="G98" s="455">
        <v>0</v>
      </c>
      <c r="H98" s="456">
        <f>(G68+I68/2)*((G47-H47)*(1+$J$45))*Faktory!$D$10</f>
        <v>0</v>
      </c>
      <c r="I98" s="410">
        <f t="shared" si="16"/>
        <v>0</v>
      </c>
    </row>
    <row r="99" spans="1:9" ht="16">
      <c r="A99" s="703"/>
      <c r="B99" s="705"/>
      <c r="C99" s="447" t="s">
        <v>28</v>
      </c>
      <c r="D99" s="448">
        <f t="shared" si="10"/>
        <v>0</v>
      </c>
      <c r="E99" s="449">
        <f t="shared" si="11"/>
        <v>0</v>
      </c>
      <c r="F99" s="450">
        <f t="shared" si="12"/>
        <v>0</v>
      </c>
      <c r="G99" s="455">
        <v>0</v>
      </c>
      <c r="H99" s="456">
        <f>(G69+I69/2)*((G48-H48)*(1+$J$45))*Faktory!$D$10</f>
        <v>0</v>
      </c>
      <c r="I99" s="410">
        <f t="shared" si="16"/>
        <v>0</v>
      </c>
    </row>
    <row r="100" spans="1:9" ht="16">
      <c r="A100" s="703"/>
      <c r="B100" s="705"/>
      <c r="C100" s="447" t="s">
        <v>29</v>
      </c>
      <c r="D100" s="448">
        <f t="shared" si="10"/>
        <v>0</v>
      </c>
      <c r="E100" s="449">
        <f t="shared" si="11"/>
        <v>0</v>
      </c>
      <c r="F100" s="450">
        <f t="shared" si="12"/>
        <v>0</v>
      </c>
      <c r="G100" s="455">
        <v>0</v>
      </c>
      <c r="H100" s="456">
        <f>(G70+I70/2)*((G49-H49)*(1+$J$45))*Faktory!$D$10</f>
        <v>0</v>
      </c>
      <c r="I100" s="410">
        <f t="shared" si="16"/>
        <v>0</v>
      </c>
    </row>
    <row r="101" spans="1:9" ht="16">
      <c r="A101" s="703"/>
      <c r="B101" s="705"/>
      <c r="C101" s="447" t="s">
        <v>30</v>
      </c>
      <c r="D101" s="448">
        <f t="shared" si="10"/>
        <v>0</v>
      </c>
      <c r="E101" s="449">
        <f t="shared" si="11"/>
        <v>0</v>
      </c>
      <c r="F101" s="450">
        <f t="shared" si="12"/>
        <v>0</v>
      </c>
      <c r="G101" s="455">
        <v>0</v>
      </c>
      <c r="H101" s="456">
        <f>(G71+I71/2)*((G50-H50)*(1+$J$45))*Faktory!$D$10</f>
        <v>0</v>
      </c>
      <c r="I101" s="410">
        <f t="shared" si="16"/>
        <v>0</v>
      </c>
    </row>
    <row r="102" spans="1:9" ht="16">
      <c r="A102" s="703"/>
      <c r="B102" s="705"/>
      <c r="C102" s="447" t="s">
        <v>31</v>
      </c>
      <c r="D102" s="448">
        <f t="shared" si="10"/>
        <v>0</v>
      </c>
      <c r="E102" s="449">
        <f t="shared" si="11"/>
        <v>0</v>
      </c>
      <c r="F102" s="450">
        <f t="shared" si="12"/>
        <v>0</v>
      </c>
      <c r="G102" s="455">
        <v>0</v>
      </c>
      <c r="H102" s="456">
        <f>(G72+I72/2)*((G51-H51)*(1+$J$45))*Faktory!$D$10</f>
        <v>0</v>
      </c>
      <c r="I102" s="410">
        <f t="shared" si="16"/>
        <v>0</v>
      </c>
    </row>
    <row r="103" spans="1:9" ht="16">
      <c r="A103" s="703"/>
      <c r="B103" s="705"/>
      <c r="C103" s="447" t="s">
        <v>32</v>
      </c>
      <c r="D103" s="448">
        <f t="shared" si="10"/>
        <v>0</v>
      </c>
      <c r="E103" s="449">
        <f t="shared" si="11"/>
        <v>0</v>
      </c>
      <c r="F103" s="450">
        <f t="shared" si="12"/>
        <v>0</v>
      </c>
      <c r="G103" s="455">
        <v>0</v>
      </c>
      <c r="H103" s="456">
        <f>(G73+I73/2)*((G52-H52)*(1+$J$45))*Faktory!$D$10</f>
        <v>0</v>
      </c>
      <c r="I103" s="410">
        <f t="shared" si="16"/>
        <v>0</v>
      </c>
    </row>
    <row r="104" spans="1:9" ht="16">
      <c r="A104" s="703"/>
      <c r="B104" s="705"/>
      <c r="C104" s="447" t="s">
        <v>33</v>
      </c>
      <c r="D104" s="448">
        <f t="shared" si="10"/>
        <v>0</v>
      </c>
      <c r="E104" s="449">
        <f t="shared" si="11"/>
        <v>0</v>
      </c>
      <c r="F104" s="450">
        <f t="shared" si="12"/>
        <v>0</v>
      </c>
      <c r="G104" s="455">
        <v>0</v>
      </c>
      <c r="H104" s="456">
        <f>(G74+I74/2)*((G53-H53)*(1+$J$45))*Faktory!$D$10</f>
        <v>0</v>
      </c>
      <c r="I104" s="410">
        <f t="shared" si="16"/>
        <v>0</v>
      </c>
    </row>
    <row r="105" spans="1:9" ht="17" thickBot="1">
      <c r="A105" s="704"/>
      <c r="B105" s="706"/>
      <c r="C105" s="457" t="s">
        <v>34</v>
      </c>
      <c r="D105" s="458">
        <f t="shared" si="10"/>
        <v>0</v>
      </c>
      <c r="E105" s="459">
        <f t="shared" si="11"/>
        <v>0</v>
      </c>
      <c r="F105" s="460">
        <f t="shared" si="12"/>
        <v>0</v>
      </c>
      <c r="G105" s="461">
        <v>0</v>
      </c>
      <c r="H105" s="462">
        <f>(G75+I75/2)*((G54-H54)*(1+$J$45))*Faktory!$D$10</f>
        <v>0</v>
      </c>
      <c r="I105" s="416">
        <f t="shared" si="16"/>
        <v>0</v>
      </c>
    </row>
    <row r="106" spans="1:9" ht="16">
      <c r="A106" s="703" t="s">
        <v>193</v>
      </c>
      <c r="B106" s="705" t="s">
        <v>13</v>
      </c>
      <c r="C106" s="447" t="s">
        <v>25</v>
      </c>
      <c r="D106" s="448">
        <f t="shared" si="10"/>
        <v>0</v>
      </c>
      <c r="E106" s="449">
        <f t="shared" si="11"/>
        <v>0</v>
      </c>
      <c r="F106" s="450">
        <f t="shared" si="12"/>
        <v>0</v>
      </c>
      <c r="G106" s="463">
        <f t="shared" ref="G106:H115" si="17">G5*G15</f>
        <v>0</v>
      </c>
      <c r="H106" s="464">
        <f t="shared" si="17"/>
        <v>0</v>
      </c>
      <c r="I106" s="401">
        <f>H106-G106</f>
        <v>0</v>
      </c>
    </row>
    <row r="107" spans="1:9" ht="16">
      <c r="A107" s="703"/>
      <c r="B107" s="705"/>
      <c r="C107" s="447" t="s">
        <v>26</v>
      </c>
      <c r="D107" s="448">
        <f t="shared" si="10"/>
        <v>0</v>
      </c>
      <c r="E107" s="449">
        <f t="shared" si="11"/>
        <v>0</v>
      </c>
      <c r="F107" s="450">
        <f t="shared" si="12"/>
        <v>0</v>
      </c>
      <c r="G107" s="455">
        <f t="shared" si="17"/>
        <v>0</v>
      </c>
      <c r="H107" s="456">
        <f t="shared" si="17"/>
        <v>0</v>
      </c>
      <c r="I107" s="410">
        <f t="shared" ref="I107:I115" si="18">H107-G107</f>
        <v>0</v>
      </c>
    </row>
    <row r="108" spans="1:9" ht="16">
      <c r="A108" s="703"/>
      <c r="B108" s="705"/>
      <c r="C108" s="447" t="s">
        <v>27</v>
      </c>
      <c r="D108" s="448">
        <f t="shared" si="10"/>
        <v>0</v>
      </c>
      <c r="E108" s="449">
        <f t="shared" si="11"/>
        <v>0</v>
      </c>
      <c r="F108" s="450">
        <f t="shared" si="12"/>
        <v>0</v>
      </c>
      <c r="G108" s="455">
        <f t="shared" si="17"/>
        <v>0</v>
      </c>
      <c r="H108" s="456">
        <f t="shared" si="17"/>
        <v>0</v>
      </c>
      <c r="I108" s="410">
        <f t="shared" si="18"/>
        <v>0</v>
      </c>
    </row>
    <row r="109" spans="1:9" ht="16">
      <c r="A109" s="703"/>
      <c r="B109" s="705"/>
      <c r="C109" s="447" t="s">
        <v>28</v>
      </c>
      <c r="D109" s="448">
        <f t="shared" si="10"/>
        <v>0</v>
      </c>
      <c r="E109" s="449">
        <f t="shared" si="11"/>
        <v>0</v>
      </c>
      <c r="F109" s="450">
        <f t="shared" si="12"/>
        <v>0</v>
      </c>
      <c r="G109" s="455">
        <f t="shared" si="17"/>
        <v>0</v>
      </c>
      <c r="H109" s="456">
        <f t="shared" si="17"/>
        <v>0</v>
      </c>
      <c r="I109" s="410">
        <f t="shared" si="18"/>
        <v>0</v>
      </c>
    </row>
    <row r="110" spans="1:9" ht="16">
      <c r="A110" s="703"/>
      <c r="B110" s="705"/>
      <c r="C110" s="447" t="s">
        <v>29</v>
      </c>
      <c r="D110" s="448">
        <f t="shared" si="10"/>
        <v>0</v>
      </c>
      <c r="E110" s="449">
        <f t="shared" si="11"/>
        <v>0</v>
      </c>
      <c r="F110" s="450">
        <f t="shared" si="12"/>
        <v>0</v>
      </c>
      <c r="G110" s="455">
        <f t="shared" si="17"/>
        <v>0</v>
      </c>
      <c r="H110" s="456">
        <f t="shared" si="17"/>
        <v>0</v>
      </c>
      <c r="I110" s="410">
        <f t="shared" si="18"/>
        <v>0</v>
      </c>
    </row>
    <row r="111" spans="1:9" ht="16">
      <c r="A111" s="703"/>
      <c r="B111" s="705"/>
      <c r="C111" s="447" t="s">
        <v>30</v>
      </c>
      <c r="D111" s="448">
        <f t="shared" si="10"/>
        <v>0</v>
      </c>
      <c r="E111" s="449">
        <f t="shared" si="11"/>
        <v>0</v>
      </c>
      <c r="F111" s="450">
        <f t="shared" si="12"/>
        <v>0</v>
      </c>
      <c r="G111" s="455">
        <f t="shared" si="17"/>
        <v>0</v>
      </c>
      <c r="H111" s="456">
        <f t="shared" si="17"/>
        <v>0</v>
      </c>
      <c r="I111" s="410">
        <f t="shared" si="18"/>
        <v>0</v>
      </c>
    </row>
    <row r="112" spans="1:9" ht="16">
      <c r="A112" s="703"/>
      <c r="B112" s="705"/>
      <c r="C112" s="447" t="s">
        <v>31</v>
      </c>
      <c r="D112" s="448">
        <f t="shared" si="10"/>
        <v>0</v>
      </c>
      <c r="E112" s="449">
        <f t="shared" si="11"/>
        <v>0</v>
      </c>
      <c r="F112" s="450">
        <f t="shared" si="12"/>
        <v>0</v>
      </c>
      <c r="G112" s="455">
        <f t="shared" si="17"/>
        <v>0</v>
      </c>
      <c r="H112" s="456">
        <f t="shared" si="17"/>
        <v>0</v>
      </c>
      <c r="I112" s="410">
        <f t="shared" si="18"/>
        <v>0</v>
      </c>
    </row>
    <row r="113" spans="1:10" ht="16">
      <c r="A113" s="703"/>
      <c r="B113" s="705"/>
      <c r="C113" s="447" t="s">
        <v>32</v>
      </c>
      <c r="D113" s="448">
        <f t="shared" si="10"/>
        <v>0</v>
      </c>
      <c r="E113" s="449">
        <f t="shared" si="11"/>
        <v>0</v>
      </c>
      <c r="F113" s="450">
        <f t="shared" si="12"/>
        <v>0</v>
      </c>
      <c r="G113" s="455">
        <f t="shared" si="17"/>
        <v>0</v>
      </c>
      <c r="H113" s="456">
        <f t="shared" si="17"/>
        <v>0</v>
      </c>
      <c r="I113" s="410">
        <f t="shared" si="18"/>
        <v>0</v>
      </c>
    </row>
    <row r="114" spans="1:10" ht="16">
      <c r="A114" s="703"/>
      <c r="B114" s="705"/>
      <c r="C114" s="447" t="s">
        <v>33</v>
      </c>
      <c r="D114" s="448">
        <f t="shared" si="10"/>
        <v>0</v>
      </c>
      <c r="E114" s="449">
        <f t="shared" si="11"/>
        <v>0</v>
      </c>
      <c r="F114" s="450">
        <f t="shared" si="12"/>
        <v>0</v>
      </c>
      <c r="G114" s="455">
        <f t="shared" si="17"/>
        <v>0</v>
      </c>
      <c r="H114" s="456">
        <f t="shared" si="17"/>
        <v>0</v>
      </c>
      <c r="I114" s="410">
        <f t="shared" si="18"/>
        <v>0</v>
      </c>
    </row>
    <row r="115" spans="1:10" ht="17" thickBot="1">
      <c r="A115" s="704"/>
      <c r="B115" s="706"/>
      <c r="C115" s="457" t="s">
        <v>34</v>
      </c>
      <c r="D115" s="458">
        <f t="shared" si="10"/>
        <v>0</v>
      </c>
      <c r="E115" s="459">
        <f t="shared" si="11"/>
        <v>0</v>
      </c>
      <c r="F115" s="460">
        <f t="shared" si="12"/>
        <v>0</v>
      </c>
      <c r="G115" s="461">
        <f t="shared" si="17"/>
        <v>0</v>
      </c>
      <c r="H115" s="462">
        <f t="shared" si="17"/>
        <v>0</v>
      </c>
      <c r="I115" s="416">
        <f t="shared" si="18"/>
        <v>0</v>
      </c>
    </row>
    <row r="116" spans="1:10" ht="16">
      <c r="A116" s="703" t="s">
        <v>188</v>
      </c>
      <c r="B116" s="705" t="s">
        <v>13</v>
      </c>
      <c r="C116" s="447" t="s">
        <v>25</v>
      </c>
      <c r="D116" s="448">
        <f t="shared" si="10"/>
        <v>0</v>
      </c>
      <c r="E116" s="449">
        <f t="shared" si="11"/>
        <v>0</v>
      </c>
      <c r="F116" s="450">
        <f t="shared" si="12"/>
        <v>0</v>
      </c>
      <c r="G116" s="463">
        <f t="shared" ref="G116:H125" si="19">G5*G25</f>
        <v>0</v>
      </c>
      <c r="H116" s="464">
        <f t="shared" si="19"/>
        <v>0</v>
      </c>
      <c r="I116" s="401">
        <f>H116-G116</f>
        <v>0</v>
      </c>
    </row>
    <row r="117" spans="1:10" ht="16">
      <c r="A117" s="703"/>
      <c r="B117" s="705"/>
      <c r="C117" s="447" t="s">
        <v>26</v>
      </c>
      <c r="D117" s="448">
        <f t="shared" si="10"/>
        <v>0</v>
      </c>
      <c r="E117" s="449">
        <f t="shared" si="11"/>
        <v>0</v>
      </c>
      <c r="F117" s="450">
        <f t="shared" si="12"/>
        <v>0</v>
      </c>
      <c r="G117" s="455">
        <f t="shared" si="19"/>
        <v>0</v>
      </c>
      <c r="H117" s="456">
        <f t="shared" si="19"/>
        <v>0</v>
      </c>
      <c r="I117" s="410">
        <f t="shared" ref="I117:I125" si="20">H117-G117</f>
        <v>0</v>
      </c>
    </row>
    <row r="118" spans="1:10" ht="16">
      <c r="A118" s="703"/>
      <c r="B118" s="705"/>
      <c r="C118" s="447" t="s">
        <v>27</v>
      </c>
      <c r="D118" s="448">
        <f t="shared" si="10"/>
        <v>0</v>
      </c>
      <c r="E118" s="449">
        <f t="shared" si="11"/>
        <v>0</v>
      </c>
      <c r="F118" s="450">
        <f t="shared" si="12"/>
        <v>0</v>
      </c>
      <c r="G118" s="455">
        <f t="shared" si="19"/>
        <v>0</v>
      </c>
      <c r="H118" s="456">
        <f t="shared" si="19"/>
        <v>0</v>
      </c>
      <c r="I118" s="410">
        <f t="shared" si="20"/>
        <v>0</v>
      </c>
    </row>
    <row r="119" spans="1:10" ht="16">
      <c r="A119" s="703"/>
      <c r="B119" s="705"/>
      <c r="C119" s="447" t="s">
        <v>28</v>
      </c>
      <c r="D119" s="448">
        <f t="shared" si="10"/>
        <v>0</v>
      </c>
      <c r="E119" s="449">
        <f t="shared" si="11"/>
        <v>0</v>
      </c>
      <c r="F119" s="450">
        <f t="shared" si="12"/>
        <v>0</v>
      </c>
      <c r="G119" s="455">
        <f t="shared" si="19"/>
        <v>0</v>
      </c>
      <c r="H119" s="456">
        <f t="shared" si="19"/>
        <v>0</v>
      </c>
      <c r="I119" s="410">
        <f t="shared" si="20"/>
        <v>0</v>
      </c>
    </row>
    <row r="120" spans="1:10" ht="16">
      <c r="A120" s="703"/>
      <c r="B120" s="705"/>
      <c r="C120" s="447" t="s">
        <v>29</v>
      </c>
      <c r="D120" s="448">
        <f t="shared" si="10"/>
        <v>0</v>
      </c>
      <c r="E120" s="449">
        <f t="shared" si="11"/>
        <v>0</v>
      </c>
      <c r="F120" s="450">
        <f t="shared" si="12"/>
        <v>0</v>
      </c>
      <c r="G120" s="455">
        <f t="shared" si="19"/>
        <v>0</v>
      </c>
      <c r="H120" s="456">
        <f t="shared" si="19"/>
        <v>0</v>
      </c>
      <c r="I120" s="410">
        <f t="shared" si="20"/>
        <v>0</v>
      </c>
    </row>
    <row r="121" spans="1:10" ht="16">
      <c r="A121" s="703"/>
      <c r="B121" s="705"/>
      <c r="C121" s="447" t="s">
        <v>30</v>
      </c>
      <c r="D121" s="448">
        <f t="shared" si="10"/>
        <v>0</v>
      </c>
      <c r="E121" s="449">
        <f t="shared" si="11"/>
        <v>0</v>
      </c>
      <c r="F121" s="450">
        <f t="shared" si="12"/>
        <v>0</v>
      </c>
      <c r="G121" s="455">
        <f t="shared" si="19"/>
        <v>0</v>
      </c>
      <c r="H121" s="456">
        <f t="shared" si="19"/>
        <v>0</v>
      </c>
      <c r="I121" s="410">
        <f t="shared" si="20"/>
        <v>0</v>
      </c>
    </row>
    <row r="122" spans="1:10" ht="16">
      <c r="A122" s="703"/>
      <c r="B122" s="705"/>
      <c r="C122" s="447" t="s">
        <v>31</v>
      </c>
      <c r="D122" s="448">
        <f t="shared" si="10"/>
        <v>0</v>
      </c>
      <c r="E122" s="449">
        <f t="shared" si="11"/>
        <v>0</v>
      </c>
      <c r="F122" s="450">
        <f t="shared" si="12"/>
        <v>0</v>
      </c>
      <c r="G122" s="455">
        <f t="shared" si="19"/>
        <v>0</v>
      </c>
      <c r="H122" s="456">
        <f t="shared" si="19"/>
        <v>0</v>
      </c>
      <c r="I122" s="410">
        <f t="shared" si="20"/>
        <v>0</v>
      </c>
    </row>
    <row r="123" spans="1:10" ht="16">
      <c r="A123" s="703"/>
      <c r="B123" s="705"/>
      <c r="C123" s="447" t="s">
        <v>32</v>
      </c>
      <c r="D123" s="448">
        <f t="shared" si="10"/>
        <v>0</v>
      </c>
      <c r="E123" s="449">
        <f t="shared" si="11"/>
        <v>0</v>
      </c>
      <c r="F123" s="450">
        <f t="shared" si="12"/>
        <v>0</v>
      </c>
      <c r="G123" s="455">
        <f t="shared" si="19"/>
        <v>0</v>
      </c>
      <c r="H123" s="456">
        <f t="shared" si="19"/>
        <v>0</v>
      </c>
      <c r="I123" s="410">
        <f t="shared" si="20"/>
        <v>0</v>
      </c>
    </row>
    <row r="124" spans="1:10" ht="16">
      <c r="A124" s="703"/>
      <c r="B124" s="705"/>
      <c r="C124" s="447" t="s">
        <v>33</v>
      </c>
      <c r="D124" s="448">
        <f t="shared" si="10"/>
        <v>0</v>
      </c>
      <c r="E124" s="449">
        <f t="shared" si="11"/>
        <v>0</v>
      </c>
      <c r="F124" s="450">
        <f t="shared" si="12"/>
        <v>0</v>
      </c>
      <c r="G124" s="455">
        <f t="shared" si="19"/>
        <v>0</v>
      </c>
      <c r="H124" s="456">
        <f t="shared" si="19"/>
        <v>0</v>
      </c>
      <c r="I124" s="410">
        <f t="shared" si="20"/>
        <v>0</v>
      </c>
    </row>
    <row r="125" spans="1:10" ht="17" thickBot="1">
      <c r="A125" s="704"/>
      <c r="B125" s="706"/>
      <c r="C125" s="457" t="s">
        <v>34</v>
      </c>
      <c r="D125" s="458">
        <f t="shared" si="10"/>
        <v>0</v>
      </c>
      <c r="E125" s="459">
        <f t="shared" si="11"/>
        <v>0</v>
      </c>
      <c r="F125" s="460">
        <f t="shared" si="12"/>
        <v>0</v>
      </c>
      <c r="G125" s="461">
        <f t="shared" si="19"/>
        <v>0</v>
      </c>
      <c r="H125" s="462">
        <f t="shared" si="19"/>
        <v>0</v>
      </c>
      <c r="I125" s="416">
        <f t="shared" si="20"/>
        <v>0</v>
      </c>
    </row>
    <row r="126" spans="1:10" ht="16">
      <c r="A126" s="703" t="s">
        <v>39</v>
      </c>
      <c r="B126" s="705" t="s">
        <v>13</v>
      </c>
      <c r="C126" s="447" t="s">
        <v>25</v>
      </c>
      <c r="D126" s="448">
        <f t="shared" si="10"/>
        <v>0</v>
      </c>
      <c r="E126" s="449">
        <f t="shared" si="11"/>
        <v>0</v>
      </c>
      <c r="F126" s="450">
        <f t="shared" si="12"/>
        <v>0</v>
      </c>
      <c r="G126" s="463">
        <f>G55</f>
        <v>0</v>
      </c>
      <c r="H126" s="464">
        <f t="shared" ref="H126:H135" si="21">H55*(1+$J$126)</f>
        <v>0</v>
      </c>
      <c r="I126" s="401">
        <f>H126-G126</f>
        <v>0</v>
      </c>
      <c r="J126" s="402">
        <f>'Analyza citlivosti - AgendovéIS'!H7</f>
        <v>0</v>
      </c>
    </row>
    <row r="127" spans="1:10" ht="16">
      <c r="A127" s="703"/>
      <c r="B127" s="705"/>
      <c r="C127" s="447" t="s">
        <v>26</v>
      </c>
      <c r="D127" s="448">
        <f t="shared" si="10"/>
        <v>0</v>
      </c>
      <c r="E127" s="449">
        <f t="shared" si="11"/>
        <v>0</v>
      </c>
      <c r="F127" s="450">
        <f t="shared" si="12"/>
        <v>0</v>
      </c>
      <c r="G127" s="455">
        <f t="shared" ref="G127:G135" si="22">G56</f>
        <v>0</v>
      </c>
      <c r="H127" s="456">
        <f t="shared" si="21"/>
        <v>0</v>
      </c>
      <c r="I127" s="410">
        <f t="shared" ref="I127:I135" si="23">H127-G127</f>
        <v>0</v>
      </c>
    </row>
    <row r="128" spans="1:10" ht="16">
      <c r="A128" s="703"/>
      <c r="B128" s="705"/>
      <c r="C128" s="447" t="s">
        <v>27</v>
      </c>
      <c r="D128" s="448">
        <f t="shared" si="10"/>
        <v>0</v>
      </c>
      <c r="E128" s="449">
        <f t="shared" si="11"/>
        <v>135000</v>
      </c>
      <c r="F128" s="450">
        <f t="shared" si="12"/>
        <v>135000</v>
      </c>
      <c r="G128" s="455">
        <f>G57</f>
        <v>0</v>
      </c>
      <c r="H128" s="456">
        <f t="shared" si="21"/>
        <v>135000</v>
      </c>
      <c r="I128" s="410">
        <f t="shared" si="23"/>
        <v>135000</v>
      </c>
    </row>
    <row r="129" spans="1:9" ht="16">
      <c r="A129" s="703"/>
      <c r="B129" s="705"/>
      <c r="C129" s="447" t="s">
        <v>28</v>
      </c>
      <c r="D129" s="448">
        <f t="shared" si="10"/>
        <v>0</v>
      </c>
      <c r="E129" s="449">
        <f t="shared" si="11"/>
        <v>405000</v>
      </c>
      <c r="F129" s="450">
        <f t="shared" si="12"/>
        <v>405000</v>
      </c>
      <c r="G129" s="455">
        <f>G58</f>
        <v>0</v>
      </c>
      <c r="H129" s="456">
        <f t="shared" si="21"/>
        <v>405000</v>
      </c>
      <c r="I129" s="410">
        <f t="shared" si="23"/>
        <v>405000</v>
      </c>
    </row>
    <row r="130" spans="1:9" ht="16">
      <c r="A130" s="703"/>
      <c r="B130" s="705"/>
      <c r="C130" s="447" t="s">
        <v>29</v>
      </c>
      <c r="D130" s="448">
        <f t="shared" si="10"/>
        <v>0</v>
      </c>
      <c r="E130" s="449">
        <f t="shared" si="11"/>
        <v>607500</v>
      </c>
      <c r="F130" s="450">
        <f t="shared" si="12"/>
        <v>607500</v>
      </c>
      <c r="G130" s="455">
        <f>G59</f>
        <v>0</v>
      </c>
      <c r="H130" s="456">
        <f t="shared" si="21"/>
        <v>607500</v>
      </c>
      <c r="I130" s="410">
        <f t="shared" si="23"/>
        <v>607500</v>
      </c>
    </row>
    <row r="131" spans="1:9" ht="16">
      <c r="A131" s="703"/>
      <c r="B131" s="705"/>
      <c r="C131" s="447" t="s">
        <v>30</v>
      </c>
      <c r="D131" s="448">
        <f t="shared" ref="D131:D135" si="24">G131</f>
        <v>0</v>
      </c>
      <c r="E131" s="449">
        <f t="shared" ref="E131:E135" si="25">H131</f>
        <v>810000</v>
      </c>
      <c r="F131" s="450">
        <f t="shared" ref="F131:F135" si="26">I131</f>
        <v>810000</v>
      </c>
      <c r="G131" s="455">
        <f>G60</f>
        <v>0</v>
      </c>
      <c r="H131" s="456">
        <f t="shared" si="21"/>
        <v>810000</v>
      </c>
      <c r="I131" s="410">
        <f t="shared" si="23"/>
        <v>810000</v>
      </c>
    </row>
    <row r="132" spans="1:9" ht="16">
      <c r="A132" s="703"/>
      <c r="B132" s="705"/>
      <c r="C132" s="447" t="s">
        <v>31</v>
      </c>
      <c r="D132" s="448">
        <f t="shared" si="24"/>
        <v>0</v>
      </c>
      <c r="E132" s="449">
        <f t="shared" si="25"/>
        <v>810000</v>
      </c>
      <c r="F132" s="450">
        <f t="shared" si="26"/>
        <v>810000</v>
      </c>
      <c r="G132" s="455">
        <f>G61</f>
        <v>0</v>
      </c>
      <c r="H132" s="456">
        <f t="shared" si="21"/>
        <v>810000</v>
      </c>
      <c r="I132" s="410">
        <f t="shared" si="23"/>
        <v>810000</v>
      </c>
    </row>
    <row r="133" spans="1:9" ht="16">
      <c r="A133" s="703"/>
      <c r="B133" s="705"/>
      <c r="C133" s="447" t="s">
        <v>32</v>
      </c>
      <c r="D133" s="448">
        <f t="shared" si="24"/>
        <v>0</v>
      </c>
      <c r="E133" s="449">
        <f t="shared" si="25"/>
        <v>1012500</v>
      </c>
      <c r="F133" s="450">
        <f t="shared" si="26"/>
        <v>1012500</v>
      </c>
      <c r="G133" s="455">
        <f t="shared" si="22"/>
        <v>0</v>
      </c>
      <c r="H133" s="456">
        <f t="shared" si="21"/>
        <v>1012500</v>
      </c>
      <c r="I133" s="410">
        <f t="shared" si="23"/>
        <v>1012500</v>
      </c>
    </row>
    <row r="134" spans="1:9" ht="16">
      <c r="A134" s="703"/>
      <c r="B134" s="705"/>
      <c r="C134" s="447" t="s">
        <v>33</v>
      </c>
      <c r="D134" s="448">
        <f t="shared" si="24"/>
        <v>0</v>
      </c>
      <c r="E134" s="449">
        <f t="shared" si="25"/>
        <v>1012500</v>
      </c>
      <c r="F134" s="450">
        <f t="shared" si="26"/>
        <v>1012500</v>
      </c>
      <c r="G134" s="455">
        <f t="shared" si="22"/>
        <v>0</v>
      </c>
      <c r="H134" s="456">
        <f t="shared" si="21"/>
        <v>1012500</v>
      </c>
      <c r="I134" s="410">
        <f t="shared" si="23"/>
        <v>1012500</v>
      </c>
    </row>
    <row r="135" spans="1:9" ht="17" thickBot="1">
      <c r="A135" s="704"/>
      <c r="B135" s="706"/>
      <c r="C135" s="457" t="s">
        <v>34</v>
      </c>
      <c r="D135" s="458">
        <f t="shared" si="24"/>
        <v>0</v>
      </c>
      <c r="E135" s="459">
        <f t="shared" si="25"/>
        <v>1012500</v>
      </c>
      <c r="F135" s="460">
        <f t="shared" si="26"/>
        <v>1012500</v>
      </c>
      <c r="G135" s="461">
        <f t="shared" si="22"/>
        <v>0</v>
      </c>
      <c r="H135" s="462">
        <f t="shared" si="21"/>
        <v>1012500</v>
      </c>
      <c r="I135" s="416">
        <f t="shared" si="23"/>
        <v>1012500</v>
      </c>
    </row>
  </sheetData>
  <sheetProtection insertColumns="0" deleteColumns="0"/>
  <mergeCells count="29">
    <mergeCell ref="G3:I3"/>
    <mergeCell ref="G1:I2"/>
    <mergeCell ref="A66:A75"/>
    <mergeCell ref="B66:B75"/>
    <mergeCell ref="A126:A135"/>
    <mergeCell ref="B126:B135"/>
    <mergeCell ref="A106:A115"/>
    <mergeCell ref="B106:B115"/>
    <mergeCell ref="A86:A95"/>
    <mergeCell ref="B86:B95"/>
    <mergeCell ref="A116:A125"/>
    <mergeCell ref="B116:B125"/>
    <mergeCell ref="A96:A105"/>
    <mergeCell ref="B96:B105"/>
    <mergeCell ref="A76:A85"/>
    <mergeCell ref="B76:B85"/>
    <mergeCell ref="A5:A14"/>
    <mergeCell ref="B5:B14"/>
    <mergeCell ref="A15:A24"/>
    <mergeCell ref="B15:B24"/>
    <mergeCell ref="D1:F1"/>
    <mergeCell ref="A25:A34"/>
    <mergeCell ref="B25:B34"/>
    <mergeCell ref="A35:A44"/>
    <mergeCell ref="B35:B44"/>
    <mergeCell ref="A55:A64"/>
    <mergeCell ref="B55:B64"/>
    <mergeCell ref="A45:A54"/>
    <mergeCell ref="B45:B54"/>
  </mergeCells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CC"/>
    <outlinePr summaryBelow="0" summaryRight="0"/>
  </sheetPr>
  <dimension ref="A1:M44"/>
  <sheetViews>
    <sheetView view="pageBreakPreview" topLeftCell="B5" zoomScale="90" zoomScaleNormal="85" zoomScaleSheetLayoutView="90" workbookViewId="0">
      <selection activeCell="D6" sqref="D6:F14"/>
    </sheetView>
  </sheetViews>
  <sheetFormatPr baseColWidth="10" defaultColWidth="8.83203125" defaultRowHeight="15" outlineLevelCol="1"/>
  <cols>
    <col min="2" max="2" width="54.1640625" customWidth="1"/>
    <col min="3" max="3" width="18.83203125" customWidth="1"/>
    <col min="4" max="13" width="16" customWidth="1" outlineLevel="1"/>
  </cols>
  <sheetData>
    <row r="1" spans="1:13" ht="21">
      <c r="A1" s="102" t="s">
        <v>102</v>
      </c>
      <c r="B1" s="103"/>
      <c r="D1" s="91"/>
      <c r="E1" s="89"/>
      <c r="F1" s="89"/>
      <c r="G1" s="89"/>
      <c r="H1" s="89"/>
      <c r="I1" s="89"/>
      <c r="J1" s="89"/>
      <c r="K1" s="89"/>
      <c r="L1" s="89"/>
      <c r="M1" s="85"/>
    </row>
    <row r="2" spans="1:13" ht="16">
      <c r="A2" s="104"/>
      <c r="B2" s="90"/>
      <c r="D2" s="87"/>
      <c r="E2" s="610"/>
      <c r="F2" s="87"/>
      <c r="G2" s="87"/>
      <c r="H2" s="87"/>
      <c r="I2" s="87"/>
      <c r="J2" s="87"/>
      <c r="K2" s="87"/>
      <c r="L2" s="87"/>
      <c r="M2" s="81"/>
    </row>
    <row r="3" spans="1:13" ht="16">
      <c r="A3" s="212" t="s">
        <v>194</v>
      </c>
      <c r="B3" s="90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6" thickBot="1">
      <c r="A5" s="91"/>
      <c r="B5" s="92"/>
      <c r="C5" s="86"/>
      <c r="D5" s="707" t="s">
        <v>103</v>
      </c>
      <c r="E5" s="707"/>
      <c r="F5" s="707"/>
      <c r="G5" s="707"/>
      <c r="H5" s="707"/>
      <c r="I5" s="707"/>
      <c r="J5" s="707"/>
      <c r="K5" s="707"/>
      <c r="L5" s="707"/>
      <c r="M5" s="707"/>
    </row>
    <row r="6" spans="1:13" ht="16">
      <c r="A6" s="209"/>
      <c r="B6" s="206" t="s">
        <v>169</v>
      </c>
      <c r="C6" s="96" t="s">
        <v>107</v>
      </c>
      <c r="D6" s="110" t="s">
        <v>25</v>
      </c>
      <c r="E6" s="111" t="s">
        <v>26</v>
      </c>
      <c r="F6" s="111" t="s">
        <v>27</v>
      </c>
      <c r="G6" s="111" t="s">
        <v>28</v>
      </c>
      <c r="H6" s="111" t="s">
        <v>29</v>
      </c>
      <c r="I6" s="111" t="s">
        <v>30</v>
      </c>
      <c r="J6" s="111" t="s">
        <v>31</v>
      </c>
      <c r="K6" s="111" t="s">
        <v>32</v>
      </c>
      <c r="L6" s="111" t="s">
        <v>33</v>
      </c>
      <c r="M6" s="112" t="s">
        <v>34</v>
      </c>
    </row>
    <row r="7" spans="1:13">
      <c r="A7" s="210"/>
      <c r="B7" s="207" t="s">
        <v>110</v>
      </c>
      <c r="C7" s="97">
        <f t="shared" ref="C7:C14" si="0">SUM(D7:M7)</f>
        <v>298728</v>
      </c>
      <c r="D7" s="113">
        <f>'TCO TO BE- SW'!$E5+'TCO TO BE- SW'!$E15</f>
        <v>298728</v>
      </c>
      <c r="E7" s="94">
        <f>'TCO TO BE- SW'!$E6+'TCO TO BE- SW'!$E16</f>
        <v>0</v>
      </c>
      <c r="F7" s="94">
        <f>'TCO TO BE- SW'!$E7+'TCO TO BE- SW'!$E17</f>
        <v>0</v>
      </c>
      <c r="G7" s="94">
        <f>'TCO TO BE- SW'!$E8+'TCO TO BE- SW'!$E18</f>
        <v>0</v>
      </c>
      <c r="H7" s="94">
        <f>'TCO TO BE- SW'!$E9+'TCO TO BE- SW'!$E19</f>
        <v>0</v>
      </c>
      <c r="I7" s="94">
        <f>'TCO TO BE- SW'!$E10+'TCO TO BE- SW'!$E20</f>
        <v>0</v>
      </c>
      <c r="J7" s="94">
        <f>'TCO TO BE- SW'!$E11+'TCO TO BE- SW'!$E21</f>
        <v>0</v>
      </c>
      <c r="K7" s="94">
        <f>'TCO TO BE- SW'!$E12+'TCO TO BE- SW'!$E22</f>
        <v>0</v>
      </c>
      <c r="L7" s="94">
        <f>'TCO TO BE- SW'!$E13+'TCO TO BE- SW'!$E23</f>
        <v>0</v>
      </c>
      <c r="M7" s="114">
        <f>'TCO TO BE- SW'!$E14+'TCO TO BE- SW'!$E24</f>
        <v>0</v>
      </c>
    </row>
    <row r="8" spans="1:13">
      <c r="A8" s="210"/>
      <c r="B8" s="207" t="s">
        <v>111</v>
      </c>
      <c r="C8" s="97">
        <f t="shared" si="0"/>
        <v>697032</v>
      </c>
      <c r="D8" s="113">
        <f>'TCO TO BE- SW'!$E58+'TCO TO BE- SW'!$E68</f>
        <v>0</v>
      </c>
      <c r="E8" s="94">
        <f>'TCO TO BE- SW'!$E59+'TCO TO BE- SW'!$E69</f>
        <v>0</v>
      </c>
      <c r="F8" s="94">
        <f>'TCO TO BE- SW'!$E60+'TCO TO BE- SW'!$E70</f>
        <v>0</v>
      </c>
      <c r="G8" s="94">
        <f>'TCO TO BE- SW'!$E61+'TCO TO BE- SW'!$E71</f>
        <v>99576</v>
      </c>
      <c r="H8" s="94">
        <f>'TCO TO BE- SW'!$E62+'TCO TO BE- SW'!$E72</f>
        <v>99576</v>
      </c>
      <c r="I8" s="94">
        <f>'TCO TO BE- SW'!$E63+'TCO TO BE- SW'!$E73</f>
        <v>99576</v>
      </c>
      <c r="J8" s="94">
        <f>'TCO TO BE- SW'!$E64+'TCO TO BE- SW'!$E74</f>
        <v>99576</v>
      </c>
      <c r="K8" s="94">
        <f>'TCO TO BE- SW'!$E65+'TCO TO BE- SW'!$E75</f>
        <v>99576</v>
      </c>
      <c r="L8" s="94">
        <f>'TCO TO BE- SW'!$E66+'TCO TO BE- SW'!$E76</f>
        <v>99576</v>
      </c>
      <c r="M8" s="114">
        <f>'TCO TO BE- SW'!$E67+'TCO TO BE- SW'!$E77</f>
        <v>99576</v>
      </c>
    </row>
    <row r="9" spans="1:13">
      <c r="A9" s="210"/>
      <c r="B9" s="207" t="s">
        <v>112</v>
      </c>
      <c r="C9" s="97">
        <f t="shared" si="0"/>
        <v>1630290.9</v>
      </c>
      <c r="D9" s="113">
        <f>'TCO TO BE- SW'!$E26+'TCO TO BE- SW'!$E36+'TCO TO BE- SW'!$E46</f>
        <v>982524.89999999991</v>
      </c>
      <c r="E9" s="94">
        <f>'TCO TO BE- SW'!$E27+'TCO TO BE- SW'!$E37+'TCO TO BE- SW'!$E47</f>
        <v>254646</v>
      </c>
      <c r="F9" s="94">
        <f>'TCO TO BE- SW'!$E28+'TCO TO BE- SW'!$E38+'TCO TO BE- SW'!$E48</f>
        <v>393120</v>
      </c>
      <c r="G9" s="94">
        <f>'TCO TO BE- SW'!$E29+'TCO TO BE- SW'!$E39+'TCO TO BE- SW'!$E49</f>
        <v>0</v>
      </c>
      <c r="H9" s="94">
        <f>'TCO TO BE- SW'!$E30+'TCO TO BE- SW'!$E40+'TCO TO BE- SW'!$E50</f>
        <v>0</v>
      </c>
      <c r="I9" s="94">
        <f>'TCO TO BE- SW'!$E31+'TCO TO BE- SW'!$E41+'TCO TO BE- SW'!$E51</f>
        <v>0</v>
      </c>
      <c r="J9" s="94">
        <f>'TCO TO BE- SW'!$E32+'TCO TO BE- SW'!$E42+'TCO TO BE- SW'!$E52</f>
        <v>0</v>
      </c>
      <c r="K9" s="94">
        <f>'TCO TO BE- SW'!$E33+'TCO TO BE- SW'!$E43+'TCO TO BE- SW'!$E53</f>
        <v>0</v>
      </c>
      <c r="L9" s="94">
        <f>'TCO TO BE- SW'!$E34+'TCO TO BE- SW'!$E44+'TCO TO BE- SW'!$E54</f>
        <v>0</v>
      </c>
      <c r="M9" s="114">
        <f>'TCO TO BE- SW'!$E35+'TCO TO BE- SW'!$E45+'TCO TO BE- SW'!$E55</f>
        <v>0</v>
      </c>
    </row>
    <row r="10" spans="1:13">
      <c r="A10" s="210"/>
      <c r="B10" s="207" t="s">
        <v>113</v>
      </c>
      <c r="C10" s="97">
        <f t="shared" si="0"/>
        <v>302259.19500000001</v>
      </c>
      <c r="D10" s="113">
        <f>'TCO TO BE- SW'!$E79+'TCO TO BE- SW'!$E89+'TCO TO BE- SW'!$E99+'TCO TO BE- SW'!$E109+'TCO TO BE- SW'!$E119</f>
        <v>0</v>
      </c>
      <c r="E10" s="94">
        <f>'TCO TO BE- SW'!$E80+'TCO TO BE- SW'!$E90+'TCO TO BE- SW'!$E100+'TCO TO BE- SW'!$E110+'TCO TO BE- SW'!$E120</f>
        <v>0</v>
      </c>
      <c r="F10" s="94">
        <f>'TCO TO BE- SW'!$E81+'TCO TO BE- SW'!$E91+'TCO TO BE- SW'!$E101+'TCO TO BE- SW'!$E111+'TCO TO BE- SW'!$E121</f>
        <v>0</v>
      </c>
      <c r="G10" s="94">
        <f>'TCO TO BE- SW'!$E82+'TCO TO BE- SW'!$E92+'TCO TO BE- SW'!$E102+'TCO TO BE- SW'!$E112+'TCO TO BE- SW'!$E122</f>
        <v>43179.885000000002</v>
      </c>
      <c r="H10" s="94">
        <f>'TCO TO BE- SW'!$E83+'TCO TO BE- SW'!$E93+'TCO TO BE- SW'!$E103+'TCO TO BE- SW'!$E113+'TCO TO BE- SW'!$E123</f>
        <v>43179.885000000002</v>
      </c>
      <c r="I10" s="94">
        <f>'TCO TO BE- SW'!$E84+'TCO TO BE- SW'!$E94+'TCO TO BE- SW'!$E104+'TCO TO BE- SW'!$E114+'TCO TO BE- SW'!$E124</f>
        <v>43179.885000000002</v>
      </c>
      <c r="J10" s="94">
        <f>'TCO TO BE- SW'!$E85+'TCO TO BE- SW'!$E95+'TCO TO BE- SW'!$E105+'TCO TO BE- SW'!$E115+'TCO TO BE- SW'!$E125</f>
        <v>43179.885000000002</v>
      </c>
      <c r="K10" s="94">
        <f>'TCO TO BE- SW'!$E86+'TCO TO BE- SW'!$E96+'TCO TO BE- SW'!$E106+'TCO TO BE- SW'!$E116+'TCO TO BE- SW'!$E126</f>
        <v>43179.885000000002</v>
      </c>
      <c r="L10" s="94">
        <f>'TCO TO BE- SW'!$E87+'TCO TO BE- SW'!$E97+'TCO TO BE- SW'!$E107+'TCO TO BE- SW'!$E117+'TCO TO BE- SW'!$E127</f>
        <v>43179.885000000002</v>
      </c>
      <c r="M10" s="114">
        <f>'TCO TO BE- SW'!$E88+'TCO TO BE- SW'!$E98+'TCO TO BE- SW'!$E108+'TCO TO BE- SW'!$E118+'TCO TO BE- SW'!$E128</f>
        <v>43179.885000000002</v>
      </c>
    </row>
    <row r="11" spans="1:13">
      <c r="A11" s="210"/>
      <c r="B11" s="207" t="s">
        <v>350</v>
      </c>
      <c r="C11" s="97">
        <f t="shared" si="0"/>
        <v>0</v>
      </c>
      <c r="D11" s="113">
        <f>'TCO TO BE- SW'!E151+'TCO TO BE- SW'!E161</f>
        <v>0</v>
      </c>
      <c r="E11" s="94">
        <f>'TCO TO BE- SW'!E152+'TCO TO BE- SW'!E162</f>
        <v>0</v>
      </c>
      <c r="F11" s="94">
        <f>'TCO TO BE- SW'!E153+'TCO TO BE- SW'!E163</f>
        <v>0</v>
      </c>
      <c r="G11" s="94">
        <f>'TCO TO BE- SW'!E154+'TCO TO BE- SW'!E164</f>
        <v>0</v>
      </c>
      <c r="H11" s="94">
        <f>'TCO TO BE- SW'!E155+'TCO TO BE- SW'!E165</f>
        <v>0</v>
      </c>
      <c r="I11" s="94">
        <f>'TCO TO BE- SW'!E156+'TCO TO BE- SW'!E166</f>
        <v>0</v>
      </c>
      <c r="J11" s="94">
        <f>'TCO TO BE- SW'!E157+'TCO TO BE- SW'!E167</f>
        <v>0</v>
      </c>
      <c r="K11" s="94">
        <f>'TCO TO BE- SW'!E158+'TCO TO BE- SW'!E168</f>
        <v>0</v>
      </c>
      <c r="L11" s="94">
        <f>'TCO TO BE- SW'!E159+'TCO TO BE- SW'!E169</f>
        <v>0</v>
      </c>
      <c r="M11" s="114">
        <f>'TCO TO BE- SW'!E160+'TCO TO BE- SW'!E170</f>
        <v>0</v>
      </c>
    </row>
    <row r="12" spans="1:13">
      <c r="A12" s="210"/>
      <c r="B12" s="207" t="s">
        <v>104</v>
      </c>
      <c r="C12" s="97">
        <f t="shared" si="0"/>
        <v>1026374.9999999999</v>
      </c>
      <c r="D12" s="113">
        <f>'TCO TO BE - HW'!$E4+'TCO TO BE - HW'!$E14+'TCO TO BE - HW'!$E24</f>
        <v>1026374.9999999999</v>
      </c>
      <c r="E12" s="94">
        <f>'TCO TO BE - HW'!$E5+'TCO TO BE - HW'!$E15+'TCO TO BE - HW'!$E25</f>
        <v>0</v>
      </c>
      <c r="F12" s="94">
        <f>'TCO TO BE - HW'!$E6+'TCO TO BE - HW'!$E16+'TCO TO BE - HW'!$E26</f>
        <v>0</v>
      </c>
      <c r="G12" s="94">
        <f>'TCO TO BE - HW'!$E7+'TCO TO BE - HW'!$E17+'TCO TO BE - HW'!$E27</f>
        <v>0</v>
      </c>
      <c r="H12" s="94">
        <f>'TCO TO BE - HW'!$E8+'TCO TO BE - HW'!$E18+'TCO TO BE - HW'!$E28</f>
        <v>0</v>
      </c>
      <c r="I12" s="94">
        <f>'TCO TO BE - HW'!$E9+'TCO TO BE - HW'!$E19+'TCO TO BE - HW'!$E29</f>
        <v>0</v>
      </c>
      <c r="J12" s="94">
        <f>'TCO TO BE - HW'!$E10+'TCO TO BE - HW'!$E20+'TCO TO BE - HW'!$E30</f>
        <v>0</v>
      </c>
      <c r="K12" s="94">
        <f>'TCO TO BE - HW'!$E11+'TCO TO BE - HW'!$E21+'TCO TO BE - HW'!$E31</f>
        <v>0</v>
      </c>
      <c r="L12" s="94">
        <f>'TCO TO BE - HW'!$E12+'TCO TO BE - HW'!$E22+'TCO TO BE - HW'!$E32</f>
        <v>0</v>
      </c>
      <c r="M12" s="114">
        <f>'TCO TO BE - HW'!$E13+'TCO TO BE - HW'!$E23+'TCO TO BE - HW'!$E33</f>
        <v>0</v>
      </c>
    </row>
    <row r="13" spans="1:13">
      <c r="A13" s="210"/>
      <c r="B13" s="207" t="s">
        <v>105</v>
      </c>
      <c r="C13" s="97">
        <f t="shared" si="0"/>
        <v>105000</v>
      </c>
      <c r="D13" s="113">
        <f>'TCO TO BE - HW'!$E35+'TCO TO BE - HW'!$E45+'TCO TO BE - HW'!$E55+'TCO TO BE - HW'!$E65+'TCO TO BE - HW'!$E75</f>
        <v>0</v>
      </c>
      <c r="E13" s="94">
        <f>'TCO TO BE - HW'!$E36+'TCO TO BE - HW'!$E46+'TCO TO BE - HW'!$E56+'TCO TO BE - HW'!$E66+'TCO TO BE - HW'!$E76</f>
        <v>0</v>
      </c>
      <c r="F13" s="94">
        <f>'TCO TO BE - HW'!$E37+'TCO TO BE - HW'!$E47+'TCO TO BE - HW'!$E57+'TCO TO BE - HW'!$E67+'TCO TO BE - HW'!$E77</f>
        <v>0</v>
      </c>
      <c r="G13" s="94">
        <f>'TCO TO BE - HW'!$E38+'TCO TO BE - HW'!$E48+'TCO TO BE - HW'!$E58+'TCO TO BE - HW'!$E68+'TCO TO BE - HW'!$E78</f>
        <v>15000</v>
      </c>
      <c r="H13" s="94">
        <f>'TCO TO BE - HW'!$E39+'TCO TO BE - HW'!$E49+'TCO TO BE - HW'!$E59+'TCO TO BE - HW'!$E69+'TCO TO BE - HW'!$E79</f>
        <v>15000</v>
      </c>
      <c r="I13" s="94">
        <f>'TCO TO BE - HW'!$E40+'TCO TO BE - HW'!$E50+'TCO TO BE - HW'!$E60+'TCO TO BE - HW'!$E70+'TCO TO BE - HW'!$E80</f>
        <v>15000</v>
      </c>
      <c r="J13" s="94">
        <f>'TCO TO BE - HW'!$E41+'TCO TO BE - HW'!$E51+'TCO TO BE - HW'!$E61+'TCO TO BE - HW'!$E71+'TCO TO BE - HW'!$E81</f>
        <v>15000</v>
      </c>
      <c r="K13" s="94">
        <f>'TCO TO BE - HW'!$E42+'TCO TO BE - HW'!$E52+'TCO TO BE - HW'!$E62+'TCO TO BE - HW'!$E72+'TCO TO BE - HW'!$E82</f>
        <v>15000</v>
      </c>
      <c r="L13" s="94">
        <f>'TCO TO BE - HW'!$E43+'TCO TO BE - HW'!$E53+'TCO TO BE - HW'!$E63+'TCO TO BE - HW'!$E73+'TCO TO BE - HW'!$E83</f>
        <v>15000</v>
      </c>
      <c r="M13" s="114">
        <f>'TCO TO BE - HW'!$E44+'TCO TO BE - HW'!$E54+'TCO TO BE - HW'!$E64+'TCO TO BE - HW'!$E74+'TCO TO BE - HW'!$E84</f>
        <v>15000</v>
      </c>
    </row>
    <row r="14" spans="1:13" ht="16" thickBot="1">
      <c r="A14" s="210"/>
      <c r="B14" s="482" t="s">
        <v>318</v>
      </c>
      <c r="C14" s="483">
        <f t="shared" si="0"/>
        <v>173781</v>
      </c>
      <c r="D14" s="488">
        <f>'TCO TO BE- SW'!E130+'TCO TO BE- SW'!E140</f>
        <v>57927</v>
      </c>
      <c r="E14" s="489">
        <f>'TCO TO BE- SW'!E131+'TCO TO BE- SW'!E141</f>
        <v>57927</v>
      </c>
      <c r="F14" s="489">
        <f>'TCO TO BE- SW'!E132+'TCO TO BE- SW'!E142</f>
        <v>57927</v>
      </c>
      <c r="G14" s="489">
        <f>'TCO TO BE- SW'!E133+'TCO TO BE- SW'!E143</f>
        <v>0</v>
      </c>
      <c r="H14" s="489">
        <f>'TCO TO BE- SW'!E134+'TCO TO BE- SW'!E144</f>
        <v>0</v>
      </c>
      <c r="I14" s="489">
        <f>'TCO TO BE- SW'!E135+'TCO TO BE- SW'!E145</f>
        <v>0</v>
      </c>
      <c r="J14" s="489">
        <f>'TCO TO BE- SW'!E136+'TCO TO BE- SW'!E146</f>
        <v>0</v>
      </c>
      <c r="K14" s="489">
        <f>'TCO TO BE- SW'!E137+'TCO TO BE- SW'!E147</f>
        <v>0</v>
      </c>
      <c r="L14" s="489">
        <f>'TCO TO BE- SW'!E138+'TCO TO BE- SW'!E148</f>
        <v>0</v>
      </c>
      <c r="M14" s="490">
        <f>'TCO TO BE- SW'!E139+'TCO TO BE- SW'!E149</f>
        <v>0</v>
      </c>
    </row>
    <row r="15" spans="1:13" ht="16" thickBot="1">
      <c r="A15" s="211"/>
      <c r="B15" s="208" t="s">
        <v>106</v>
      </c>
      <c r="C15" s="99">
        <f>SUM(C7:C14)</f>
        <v>4233466.0949999997</v>
      </c>
      <c r="D15" s="95">
        <f>SUM(D7:D13)</f>
        <v>2307627.9</v>
      </c>
      <c r="E15" s="84">
        <f t="shared" ref="E15:M15" si="1">SUM(E7:E13)</f>
        <v>254646</v>
      </c>
      <c r="F15" s="84">
        <f t="shared" si="1"/>
        <v>393120</v>
      </c>
      <c r="G15" s="84">
        <f t="shared" si="1"/>
        <v>157755.88500000001</v>
      </c>
      <c r="H15" s="84">
        <f t="shared" si="1"/>
        <v>157755.88500000001</v>
      </c>
      <c r="I15" s="84">
        <f t="shared" si="1"/>
        <v>157755.88500000001</v>
      </c>
      <c r="J15" s="84">
        <f t="shared" si="1"/>
        <v>157755.88500000001</v>
      </c>
      <c r="K15" s="84">
        <f t="shared" si="1"/>
        <v>157755.88500000001</v>
      </c>
      <c r="L15" s="101">
        <f t="shared" si="1"/>
        <v>157755.88500000001</v>
      </c>
      <c r="M15" s="100">
        <f t="shared" si="1"/>
        <v>157755.88500000001</v>
      </c>
    </row>
    <row r="16" spans="1:13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</row>
    <row r="17" spans="1:13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3" ht="32.25" customHeight="1">
      <c r="A18" s="708" t="s">
        <v>118</v>
      </c>
      <c r="B18" s="708"/>
      <c r="C18" s="708"/>
      <c r="D18" s="88"/>
      <c r="E18" s="87"/>
      <c r="F18" s="87"/>
      <c r="G18" s="87"/>
      <c r="H18" s="87"/>
      <c r="I18" s="87"/>
      <c r="J18" s="87"/>
      <c r="K18" s="87"/>
      <c r="L18" s="87"/>
      <c r="M18" s="81"/>
    </row>
    <row r="19" spans="1:13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</row>
    <row r="20" spans="1:13" ht="16" thickBot="1">
      <c r="A20" s="91"/>
      <c r="B20" s="92"/>
      <c r="C20" s="86"/>
      <c r="D20" s="707" t="s">
        <v>103</v>
      </c>
      <c r="E20" s="707"/>
      <c r="F20" s="707"/>
      <c r="G20" s="707"/>
      <c r="H20" s="707"/>
      <c r="I20" s="707"/>
      <c r="J20" s="707"/>
      <c r="K20" s="707"/>
      <c r="L20" s="707"/>
      <c r="M20" s="707"/>
    </row>
    <row r="21" spans="1:13" ht="17.25" customHeight="1">
      <c r="A21" s="209"/>
      <c r="B21" s="205" t="s">
        <v>225</v>
      </c>
      <c r="C21" s="96" t="s">
        <v>107</v>
      </c>
      <c r="D21" s="110" t="s">
        <v>25</v>
      </c>
      <c r="E21" s="111" t="s">
        <v>26</v>
      </c>
      <c r="F21" s="111" t="s">
        <v>27</v>
      </c>
      <c r="G21" s="111" t="s">
        <v>28</v>
      </c>
      <c r="H21" s="111" t="s">
        <v>29</v>
      </c>
      <c r="I21" s="111" t="s">
        <v>30</v>
      </c>
      <c r="J21" s="111" t="s">
        <v>31</v>
      </c>
      <c r="K21" s="111" t="s">
        <v>32</v>
      </c>
      <c r="L21" s="111" t="s">
        <v>33</v>
      </c>
      <c r="M21" s="112" t="s">
        <v>34</v>
      </c>
    </row>
    <row r="22" spans="1:13" ht="15" customHeight="1">
      <c r="A22" s="210"/>
      <c r="B22" s="108" t="s">
        <v>110</v>
      </c>
      <c r="C22" s="97">
        <v>0</v>
      </c>
      <c r="D22" s="113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114">
        <v>0</v>
      </c>
    </row>
    <row r="23" spans="1:13" ht="17.25" customHeight="1">
      <c r="A23" s="210"/>
      <c r="B23" s="108" t="s">
        <v>111</v>
      </c>
      <c r="C23" s="97">
        <f>SUM(D23:M23)</f>
        <v>0</v>
      </c>
      <c r="D23" s="113">
        <f>'TCO AS IS - SW'!E5+'TCO AS IS - SW'!E15</f>
        <v>0</v>
      </c>
      <c r="E23" s="94">
        <f>'TCO AS IS - SW'!E6+'TCO AS IS - SW'!E16</f>
        <v>0</v>
      </c>
      <c r="F23" s="94">
        <f>'TCO AS IS - SW'!E7+'TCO AS IS - SW'!E17</f>
        <v>0</v>
      </c>
      <c r="G23" s="94">
        <f>'TCO AS IS - SW'!E8+'TCO AS IS - SW'!E18</f>
        <v>0</v>
      </c>
      <c r="H23" s="94">
        <f>'TCO AS IS - SW'!E9+'TCO AS IS - SW'!E19</f>
        <v>0</v>
      </c>
      <c r="I23" s="94">
        <f>'TCO AS IS - SW'!E10+'TCO AS IS - SW'!E20</f>
        <v>0</v>
      </c>
      <c r="J23" s="94">
        <f>'TCO AS IS - SW'!E11+'TCO AS IS - SW'!E21</f>
        <v>0</v>
      </c>
      <c r="K23" s="94">
        <f>'TCO AS IS - SW'!E12+'TCO AS IS - SW'!E22</f>
        <v>0</v>
      </c>
      <c r="L23" s="94">
        <f>'TCO AS IS - SW'!E13+'TCO AS IS - SW'!E23</f>
        <v>0</v>
      </c>
      <c r="M23" s="114">
        <f>'TCO AS IS - SW'!E14+'TCO AS IS - SW'!E24</f>
        <v>0</v>
      </c>
    </row>
    <row r="24" spans="1:13">
      <c r="A24" s="210"/>
      <c r="B24" s="108" t="s">
        <v>112</v>
      </c>
      <c r="C24" s="97">
        <v>0</v>
      </c>
      <c r="D24" s="113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114">
        <v>0</v>
      </c>
    </row>
    <row r="25" spans="1:13">
      <c r="A25" s="210"/>
      <c r="B25" s="108" t="s">
        <v>113</v>
      </c>
      <c r="C25" s="97">
        <f>SUM(D25:M25)</f>
        <v>0</v>
      </c>
      <c r="D25" s="113">
        <f>'TCO AS IS - SW'!E26+'TCO AS IS - SW'!E36+'TCO AS IS - SW'!E46+'TCO AS IS - SW'!E56+'TCO AS IS - SW'!E66</f>
        <v>0</v>
      </c>
      <c r="E25" s="94">
        <f>'TCO AS IS - SW'!E27+'TCO AS IS - SW'!E37+'TCO AS IS - SW'!E47+'TCO AS IS - SW'!E57+'TCO AS IS - SW'!E67</f>
        <v>0</v>
      </c>
      <c r="F25" s="94">
        <f>'TCO AS IS - SW'!E28+'TCO AS IS - SW'!E38+'TCO AS IS - SW'!E48+'TCO AS IS - SW'!E58+'TCO AS IS - SW'!E68</f>
        <v>0</v>
      </c>
      <c r="G25" s="94">
        <f>'TCO AS IS - SW'!E29+'TCO AS IS - SW'!E39+'TCO AS IS - SW'!E49+'TCO AS IS - SW'!E59+'TCO AS IS - SW'!E69</f>
        <v>0</v>
      </c>
      <c r="H25" s="94">
        <f>'TCO AS IS - SW'!E30+'TCO AS IS - SW'!E40+'TCO AS IS - SW'!E50+'TCO AS IS - SW'!E60+'TCO AS IS - SW'!E70</f>
        <v>0</v>
      </c>
      <c r="I25" s="94">
        <f>'TCO AS IS - SW'!E31+'TCO AS IS - SW'!E41+'TCO AS IS - SW'!E51+'TCO AS IS - SW'!E61+'TCO AS IS - SW'!E71</f>
        <v>0</v>
      </c>
      <c r="J25" s="94">
        <f>'TCO AS IS - SW'!E32+'TCO AS IS - SW'!E42+'TCO AS IS - SW'!E52+'TCO AS IS - SW'!E62+'TCO AS IS - SW'!E72</f>
        <v>0</v>
      </c>
      <c r="K25" s="94">
        <f>'TCO AS IS - SW'!E33+'TCO AS IS - SW'!E43+'TCO AS IS - SW'!E53+'TCO AS IS - SW'!E63+'TCO AS IS - SW'!E73</f>
        <v>0</v>
      </c>
      <c r="L25" s="94">
        <f>'TCO AS IS - SW'!E34+'TCO AS IS - SW'!E44+'TCO AS IS - SW'!E54+'TCO AS IS - SW'!E64+'TCO AS IS - SW'!E74</f>
        <v>0</v>
      </c>
      <c r="M25" s="114">
        <f>'TCO AS IS - SW'!E35+'TCO AS IS - SW'!E45+'TCO AS IS - SW'!E55+'TCO AS IS - SW'!E65+'TCO AS IS - SW'!E75</f>
        <v>0</v>
      </c>
    </row>
    <row r="26" spans="1:13">
      <c r="A26" s="210"/>
      <c r="B26" s="108" t="s">
        <v>104</v>
      </c>
      <c r="C26" s="97">
        <v>0</v>
      </c>
      <c r="D26" s="113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114">
        <v>0</v>
      </c>
    </row>
    <row r="27" spans="1:13" ht="16" thickBot="1">
      <c r="A27" s="210"/>
      <c r="B27" s="109" t="s">
        <v>105</v>
      </c>
      <c r="C27" s="98">
        <f>SUM(D27:M27)</f>
        <v>0</v>
      </c>
      <c r="D27" s="115">
        <f>'TCO AS IS - HW'!E4+'TCO AS IS - HW'!E14+'TCO AS IS - HW'!E24+'TCO AS IS - HW'!E34+'TCO AS IS - HW'!E44</f>
        <v>0</v>
      </c>
      <c r="E27" s="116">
        <f>'TCO AS IS - HW'!E5+'TCO AS IS - HW'!E15+'TCO AS IS - HW'!E25+'TCO AS IS - HW'!E35+'TCO AS IS - HW'!E45</f>
        <v>0</v>
      </c>
      <c r="F27" s="116">
        <f>'TCO AS IS - HW'!E6+'TCO AS IS - HW'!E16+'TCO AS IS - HW'!E26+'TCO AS IS - HW'!E36+'TCO AS IS - HW'!E46</f>
        <v>0</v>
      </c>
      <c r="G27" s="116">
        <f>'TCO AS IS - HW'!E7+'TCO AS IS - HW'!E17+'TCO AS IS - HW'!E27+'TCO AS IS - HW'!E37+'TCO AS IS - HW'!E47</f>
        <v>0</v>
      </c>
      <c r="H27" s="116">
        <f>'TCO AS IS - HW'!E8+'TCO AS IS - HW'!E18+'TCO AS IS - HW'!E28+'TCO AS IS - HW'!E38+'TCO AS IS - HW'!E48</f>
        <v>0</v>
      </c>
      <c r="I27" s="116">
        <f>'TCO AS IS - HW'!E9+'TCO AS IS - HW'!E19+'TCO AS IS - HW'!E29+'TCO AS IS - HW'!E39+'TCO AS IS - HW'!E49</f>
        <v>0</v>
      </c>
      <c r="J27" s="116">
        <f>'TCO AS IS - HW'!E10+'TCO AS IS - HW'!E20+'TCO AS IS - HW'!E30+'TCO AS IS - HW'!E40+'TCO AS IS - HW'!E50</f>
        <v>0</v>
      </c>
      <c r="K27" s="116">
        <f>'TCO AS IS - HW'!E11+'TCO AS IS - HW'!E21+'TCO AS IS - HW'!E31+'TCO AS IS - HW'!E41+'TCO AS IS - HW'!E51</f>
        <v>0</v>
      </c>
      <c r="L27" s="116">
        <f>'TCO AS IS - HW'!E12+'TCO AS IS - HW'!E22+'TCO AS IS - HW'!E32+'TCO AS IS - HW'!E42+'TCO AS IS - HW'!E52</f>
        <v>0</v>
      </c>
      <c r="M27" s="117">
        <f>'TCO AS IS - HW'!E13+'TCO AS IS - HW'!E23+'TCO AS IS - HW'!E33+'TCO AS IS - HW'!E43+'TCO AS IS - HW'!E53</f>
        <v>0</v>
      </c>
    </row>
    <row r="28" spans="1:13" ht="16" thickBot="1">
      <c r="A28" s="211"/>
      <c r="B28" s="93" t="s">
        <v>106</v>
      </c>
      <c r="C28" s="99">
        <f t="shared" ref="C28:M28" si="2">SUM(C22:C27)</f>
        <v>0</v>
      </c>
      <c r="D28" s="95">
        <f t="shared" si="2"/>
        <v>0</v>
      </c>
      <c r="E28" s="84">
        <f t="shared" si="2"/>
        <v>0</v>
      </c>
      <c r="F28" s="84">
        <f t="shared" si="2"/>
        <v>0</v>
      </c>
      <c r="G28" s="84">
        <f t="shared" si="2"/>
        <v>0</v>
      </c>
      <c r="H28" s="84">
        <f t="shared" si="2"/>
        <v>0</v>
      </c>
      <c r="I28" s="84">
        <f t="shared" si="2"/>
        <v>0</v>
      </c>
      <c r="J28" s="84">
        <f t="shared" si="2"/>
        <v>0</v>
      </c>
      <c r="K28" s="84">
        <f t="shared" si="2"/>
        <v>0</v>
      </c>
      <c r="L28" s="101">
        <f t="shared" si="2"/>
        <v>0</v>
      </c>
      <c r="M28" s="100">
        <f t="shared" si="2"/>
        <v>0</v>
      </c>
    </row>
    <row r="29" spans="1:13">
      <c r="A29" s="202"/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</row>
    <row r="32" spans="1:13" ht="15.75" customHeight="1">
      <c r="A32" s="708" t="s">
        <v>212</v>
      </c>
      <c r="B32" s="708"/>
      <c r="C32" s="708"/>
    </row>
    <row r="34" spans="1:13" ht="16" thickBot="1"/>
    <row r="35" spans="1:13" ht="16">
      <c r="A35" s="209"/>
      <c r="B35" s="205" t="s">
        <v>158</v>
      </c>
      <c r="C35" s="152" t="s">
        <v>107</v>
      </c>
      <c r="D35" s="153" t="s">
        <v>25</v>
      </c>
      <c r="E35" s="154" t="s">
        <v>26</v>
      </c>
      <c r="F35" s="154" t="s">
        <v>27</v>
      </c>
      <c r="G35" s="154" t="s">
        <v>28</v>
      </c>
      <c r="H35" s="154" t="s">
        <v>29</v>
      </c>
      <c r="I35" s="154" t="s">
        <v>30</v>
      </c>
      <c r="J35" s="154" t="s">
        <v>31</v>
      </c>
      <c r="K35" s="154" t="s">
        <v>32</v>
      </c>
      <c r="L35" s="154" t="s">
        <v>33</v>
      </c>
      <c r="M35" s="155" t="s">
        <v>34</v>
      </c>
    </row>
    <row r="36" spans="1:13">
      <c r="A36" s="210"/>
      <c r="B36" s="156" t="s">
        <v>110</v>
      </c>
      <c r="C36" s="157">
        <f>SUM(D36:M36)</f>
        <v>298728</v>
      </c>
      <c r="D36" s="158">
        <f t="shared" ref="D36:M36" si="3">D7-D22</f>
        <v>298728</v>
      </c>
      <c r="E36" s="159">
        <f t="shared" si="3"/>
        <v>0</v>
      </c>
      <c r="F36" s="159">
        <f t="shared" si="3"/>
        <v>0</v>
      </c>
      <c r="G36" s="159">
        <f t="shared" si="3"/>
        <v>0</v>
      </c>
      <c r="H36" s="159">
        <f t="shared" si="3"/>
        <v>0</v>
      </c>
      <c r="I36" s="159">
        <f t="shared" si="3"/>
        <v>0</v>
      </c>
      <c r="J36" s="159">
        <f t="shared" si="3"/>
        <v>0</v>
      </c>
      <c r="K36" s="159">
        <f t="shared" si="3"/>
        <v>0</v>
      </c>
      <c r="L36" s="159">
        <f t="shared" si="3"/>
        <v>0</v>
      </c>
      <c r="M36" s="169">
        <f t="shared" si="3"/>
        <v>0</v>
      </c>
    </row>
    <row r="37" spans="1:13">
      <c r="A37" s="210"/>
      <c r="B37" s="161" t="s">
        <v>111</v>
      </c>
      <c r="C37" s="157">
        <f t="shared" ref="C37:C43" si="4">SUM(D37:M37)</f>
        <v>697032</v>
      </c>
      <c r="D37" s="158">
        <f t="shared" ref="D37:M37" si="5">D8-D23</f>
        <v>0</v>
      </c>
      <c r="E37" s="159">
        <f t="shared" si="5"/>
        <v>0</v>
      </c>
      <c r="F37" s="159">
        <f t="shared" si="5"/>
        <v>0</v>
      </c>
      <c r="G37" s="159">
        <f t="shared" si="5"/>
        <v>99576</v>
      </c>
      <c r="H37" s="159">
        <f t="shared" si="5"/>
        <v>99576</v>
      </c>
      <c r="I37" s="159">
        <f t="shared" si="5"/>
        <v>99576</v>
      </c>
      <c r="J37" s="159">
        <f t="shared" si="5"/>
        <v>99576</v>
      </c>
      <c r="K37" s="159">
        <f t="shared" si="5"/>
        <v>99576</v>
      </c>
      <c r="L37" s="170">
        <f t="shared" si="5"/>
        <v>99576</v>
      </c>
      <c r="M37" s="160">
        <f t="shared" si="5"/>
        <v>99576</v>
      </c>
    </row>
    <row r="38" spans="1:13">
      <c r="A38" s="210"/>
      <c r="B38" s="156" t="s">
        <v>112</v>
      </c>
      <c r="C38" s="157">
        <f t="shared" si="4"/>
        <v>1630290.9</v>
      </c>
      <c r="D38" s="158">
        <f t="shared" ref="D38:M38" si="6">D9-D24</f>
        <v>982524.89999999991</v>
      </c>
      <c r="E38" s="159">
        <f t="shared" si="6"/>
        <v>254646</v>
      </c>
      <c r="F38" s="159">
        <f t="shared" si="6"/>
        <v>393120</v>
      </c>
      <c r="G38" s="159">
        <f t="shared" si="6"/>
        <v>0</v>
      </c>
      <c r="H38" s="159">
        <f t="shared" si="6"/>
        <v>0</v>
      </c>
      <c r="I38" s="159">
        <f t="shared" si="6"/>
        <v>0</v>
      </c>
      <c r="J38" s="159">
        <f t="shared" si="6"/>
        <v>0</v>
      </c>
      <c r="K38" s="159">
        <f t="shared" si="6"/>
        <v>0</v>
      </c>
      <c r="L38" s="170">
        <f t="shared" si="6"/>
        <v>0</v>
      </c>
      <c r="M38" s="160">
        <f t="shared" si="6"/>
        <v>0</v>
      </c>
    </row>
    <row r="39" spans="1:13">
      <c r="A39" s="210"/>
      <c r="B39" s="108" t="s">
        <v>113</v>
      </c>
      <c r="C39" s="157">
        <f t="shared" si="4"/>
        <v>302259.19500000001</v>
      </c>
      <c r="D39" s="158">
        <f t="shared" ref="D39:M39" si="7">D10-D25</f>
        <v>0</v>
      </c>
      <c r="E39" s="159">
        <f t="shared" si="7"/>
        <v>0</v>
      </c>
      <c r="F39" s="159">
        <f t="shared" si="7"/>
        <v>0</v>
      </c>
      <c r="G39" s="159">
        <f t="shared" si="7"/>
        <v>43179.885000000002</v>
      </c>
      <c r="H39" s="159">
        <f t="shared" si="7"/>
        <v>43179.885000000002</v>
      </c>
      <c r="I39" s="159">
        <f t="shared" si="7"/>
        <v>43179.885000000002</v>
      </c>
      <c r="J39" s="159">
        <f t="shared" si="7"/>
        <v>43179.885000000002</v>
      </c>
      <c r="K39" s="159">
        <f t="shared" si="7"/>
        <v>43179.885000000002</v>
      </c>
      <c r="L39" s="170">
        <f t="shared" si="7"/>
        <v>43179.885000000002</v>
      </c>
      <c r="M39" s="160">
        <f t="shared" si="7"/>
        <v>43179.885000000002</v>
      </c>
    </row>
    <row r="40" spans="1:13">
      <c r="A40" s="210"/>
      <c r="B40" s="108" t="s">
        <v>350</v>
      </c>
      <c r="C40" s="157">
        <f t="shared" si="4"/>
        <v>0</v>
      </c>
      <c r="D40" s="158">
        <f t="shared" ref="D40:M40" si="8">D11</f>
        <v>0</v>
      </c>
      <c r="E40" s="159">
        <f t="shared" si="8"/>
        <v>0</v>
      </c>
      <c r="F40" s="159">
        <f t="shared" si="8"/>
        <v>0</v>
      </c>
      <c r="G40" s="159">
        <f t="shared" si="8"/>
        <v>0</v>
      </c>
      <c r="H40" s="159">
        <f t="shared" si="8"/>
        <v>0</v>
      </c>
      <c r="I40" s="159">
        <f t="shared" si="8"/>
        <v>0</v>
      </c>
      <c r="J40" s="159">
        <f t="shared" si="8"/>
        <v>0</v>
      </c>
      <c r="K40" s="159">
        <f t="shared" si="8"/>
        <v>0</v>
      </c>
      <c r="L40" s="170">
        <f t="shared" si="8"/>
        <v>0</v>
      </c>
      <c r="M40" s="160">
        <f t="shared" si="8"/>
        <v>0</v>
      </c>
    </row>
    <row r="41" spans="1:13">
      <c r="A41" s="210"/>
      <c r="B41" s="108" t="s">
        <v>160</v>
      </c>
      <c r="C41" s="157">
        <f t="shared" si="4"/>
        <v>1026374.9999999999</v>
      </c>
      <c r="D41" s="158">
        <f t="shared" ref="D41:M41" si="9">D12-D26</f>
        <v>1026374.9999999999</v>
      </c>
      <c r="E41" s="159">
        <f t="shared" si="9"/>
        <v>0</v>
      </c>
      <c r="F41" s="159">
        <f t="shared" si="9"/>
        <v>0</v>
      </c>
      <c r="G41" s="159">
        <f t="shared" si="9"/>
        <v>0</v>
      </c>
      <c r="H41" s="159">
        <f t="shared" si="9"/>
        <v>0</v>
      </c>
      <c r="I41" s="159">
        <f t="shared" si="9"/>
        <v>0</v>
      </c>
      <c r="J41" s="159">
        <f t="shared" si="9"/>
        <v>0</v>
      </c>
      <c r="K41" s="159">
        <f t="shared" si="9"/>
        <v>0</v>
      </c>
      <c r="L41" s="170">
        <f t="shared" si="9"/>
        <v>0</v>
      </c>
      <c r="M41" s="160">
        <f t="shared" si="9"/>
        <v>0</v>
      </c>
    </row>
    <row r="42" spans="1:13">
      <c r="A42" s="210"/>
      <c r="B42" s="162" t="s">
        <v>161</v>
      </c>
      <c r="C42" s="163">
        <f t="shared" si="4"/>
        <v>105000</v>
      </c>
      <c r="D42" s="158">
        <f t="shared" ref="D42:M42" si="10">D13-D27</f>
        <v>0</v>
      </c>
      <c r="E42" s="159">
        <f t="shared" si="10"/>
        <v>0</v>
      </c>
      <c r="F42" s="159">
        <f t="shared" si="10"/>
        <v>0</v>
      </c>
      <c r="G42" s="159">
        <f t="shared" si="10"/>
        <v>15000</v>
      </c>
      <c r="H42" s="159">
        <f t="shared" si="10"/>
        <v>15000</v>
      </c>
      <c r="I42" s="159">
        <f t="shared" si="10"/>
        <v>15000</v>
      </c>
      <c r="J42" s="159">
        <f t="shared" si="10"/>
        <v>15000</v>
      </c>
      <c r="K42" s="159">
        <f t="shared" si="10"/>
        <v>15000</v>
      </c>
      <c r="L42" s="170">
        <f t="shared" si="10"/>
        <v>15000</v>
      </c>
      <c r="M42" s="160">
        <f t="shared" si="10"/>
        <v>15000</v>
      </c>
    </row>
    <row r="43" spans="1:13" ht="16" thickBot="1">
      <c r="A43" s="210"/>
      <c r="B43" s="108" t="s">
        <v>318</v>
      </c>
      <c r="C43" s="157">
        <f t="shared" si="4"/>
        <v>173781</v>
      </c>
      <c r="D43" s="158">
        <f t="shared" ref="D43:M43" si="11">D14</f>
        <v>57927</v>
      </c>
      <c r="E43" s="159">
        <f t="shared" si="11"/>
        <v>57927</v>
      </c>
      <c r="F43" s="159">
        <f t="shared" si="11"/>
        <v>57927</v>
      </c>
      <c r="G43" s="159">
        <f t="shared" si="11"/>
        <v>0</v>
      </c>
      <c r="H43" s="159">
        <f t="shared" si="11"/>
        <v>0</v>
      </c>
      <c r="I43" s="159">
        <f t="shared" si="11"/>
        <v>0</v>
      </c>
      <c r="J43" s="159">
        <f t="shared" si="11"/>
        <v>0</v>
      </c>
      <c r="K43" s="159">
        <f t="shared" si="11"/>
        <v>0</v>
      </c>
      <c r="L43" s="170">
        <f t="shared" si="11"/>
        <v>0</v>
      </c>
      <c r="M43" s="160">
        <f t="shared" si="11"/>
        <v>0</v>
      </c>
    </row>
    <row r="44" spans="1:13" ht="16" thickBot="1">
      <c r="A44" s="211"/>
      <c r="B44" s="93" t="s">
        <v>106</v>
      </c>
      <c r="C44" s="164">
        <f>SUM(D44:M44)</f>
        <v>4117612.0949999988</v>
      </c>
      <c r="D44" s="165">
        <f>SUM(D36:D43)</f>
        <v>2365554.9</v>
      </c>
      <c r="E44" s="166">
        <f t="shared" ref="E44:M44" si="12">SUM(E36:E42)</f>
        <v>254646</v>
      </c>
      <c r="F44" s="166">
        <f t="shared" si="12"/>
        <v>393120</v>
      </c>
      <c r="G44" s="166">
        <f t="shared" si="12"/>
        <v>157755.88500000001</v>
      </c>
      <c r="H44" s="166">
        <f t="shared" si="12"/>
        <v>157755.88500000001</v>
      </c>
      <c r="I44" s="166">
        <f t="shared" si="12"/>
        <v>157755.88500000001</v>
      </c>
      <c r="J44" s="166">
        <f t="shared" si="12"/>
        <v>157755.88500000001</v>
      </c>
      <c r="K44" s="166">
        <f t="shared" si="12"/>
        <v>157755.88500000001</v>
      </c>
      <c r="L44" s="167">
        <f t="shared" si="12"/>
        <v>157755.88500000001</v>
      </c>
      <c r="M44" s="168">
        <f t="shared" si="12"/>
        <v>157755.88500000001</v>
      </c>
    </row>
  </sheetData>
  <mergeCells count="4">
    <mergeCell ref="D5:M5"/>
    <mergeCell ref="A18:C18"/>
    <mergeCell ref="D20:M20"/>
    <mergeCell ref="A32:C32"/>
  </mergeCells>
  <pageMargins left="0.7" right="0.7" top="0.75" bottom="0.75" header="0.3" footer="0.3"/>
  <pageSetup paperSize="9" scale="36" orientation="portrait" r:id="rId1"/>
  <colBreaks count="1" manualBreakCount="1">
    <brk id="10" max="1048575" man="1"/>
  </colBreaks>
  <ignoredErrors>
    <ignoredError sqref="D14:M1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CC"/>
    <outlinePr summaryBelow="0" summaryRight="0"/>
  </sheetPr>
  <dimension ref="A1:E75"/>
  <sheetViews>
    <sheetView view="pageBreakPreview" topLeftCell="A46" zoomScale="80" zoomScaleNormal="85" zoomScaleSheetLayoutView="80" workbookViewId="0">
      <selection activeCell="H16" sqref="H16"/>
    </sheetView>
  </sheetViews>
  <sheetFormatPr baseColWidth="10" defaultColWidth="8.83203125" defaultRowHeight="15" outlineLevelRow="2"/>
  <cols>
    <col min="1" max="1" width="22.5" customWidth="1"/>
    <col min="2" max="2" width="23.33203125" customWidth="1"/>
    <col min="3" max="3" width="22.5" customWidth="1"/>
    <col min="5" max="5" width="17.83203125" customWidth="1"/>
  </cols>
  <sheetData>
    <row r="1" spans="1:5" ht="25.5" customHeight="1" thickBot="1">
      <c r="A1" s="709" t="s">
        <v>101</v>
      </c>
      <c r="B1" s="709"/>
      <c r="C1" s="709"/>
      <c r="D1" s="710"/>
      <c r="E1" s="70" t="s">
        <v>35</v>
      </c>
    </row>
    <row r="2" spans="1:5" ht="16" collapsed="1" thickBot="1">
      <c r="A2" s="40" t="s">
        <v>0</v>
      </c>
      <c r="B2" s="75" t="s">
        <v>77</v>
      </c>
      <c r="C2" s="75" t="s">
        <v>76</v>
      </c>
      <c r="D2" s="75" t="s">
        <v>23</v>
      </c>
      <c r="E2" s="17"/>
    </row>
    <row r="3" spans="1:5" ht="16" thickBot="1">
      <c r="A3" s="711" t="s">
        <v>81</v>
      </c>
      <c r="B3" s="712"/>
      <c r="C3" s="712"/>
      <c r="D3" s="80"/>
      <c r="E3" s="77">
        <f>E4+E25</f>
        <v>0</v>
      </c>
    </row>
    <row r="4" spans="1:5" ht="16" outlineLevel="1" thickBot="1">
      <c r="A4" s="17" t="s">
        <v>108</v>
      </c>
      <c r="B4" s="17"/>
      <c r="C4" s="17"/>
      <c r="D4" s="28"/>
      <c r="E4" s="130">
        <f>SUM(E5:E24)</f>
        <v>0</v>
      </c>
    </row>
    <row r="5" spans="1:5" ht="16" outlineLevel="2">
      <c r="A5" s="713" t="s">
        <v>82</v>
      </c>
      <c r="B5" s="714" t="s">
        <v>83</v>
      </c>
      <c r="C5" s="714">
        <v>635009</v>
      </c>
      <c r="D5" s="67" t="s">
        <v>25</v>
      </c>
      <c r="E5" s="64">
        <v>0</v>
      </c>
    </row>
    <row r="6" spans="1:5" ht="16" outlineLevel="2">
      <c r="A6" s="713"/>
      <c r="B6" s="714"/>
      <c r="C6" s="714"/>
      <c r="D6" s="68" t="s">
        <v>26</v>
      </c>
      <c r="E6" s="65">
        <v>0</v>
      </c>
    </row>
    <row r="7" spans="1:5" ht="16" outlineLevel="2">
      <c r="A7" s="713"/>
      <c r="B7" s="714"/>
      <c r="C7" s="714"/>
      <c r="D7" s="68" t="s">
        <v>27</v>
      </c>
      <c r="E7" s="65">
        <v>0</v>
      </c>
    </row>
    <row r="8" spans="1:5" ht="16" outlineLevel="2">
      <c r="A8" s="713"/>
      <c r="B8" s="714"/>
      <c r="C8" s="714"/>
      <c r="D8" s="68" t="s">
        <v>28</v>
      </c>
      <c r="E8" s="65">
        <v>0</v>
      </c>
    </row>
    <row r="9" spans="1:5" ht="16" outlineLevel="2">
      <c r="A9" s="713"/>
      <c r="B9" s="714"/>
      <c r="C9" s="714"/>
      <c r="D9" s="68" t="s">
        <v>29</v>
      </c>
      <c r="E9" s="65">
        <v>0</v>
      </c>
    </row>
    <row r="10" spans="1:5" ht="16" outlineLevel="2">
      <c r="A10" s="713"/>
      <c r="B10" s="714"/>
      <c r="C10" s="714"/>
      <c r="D10" s="68" t="s">
        <v>30</v>
      </c>
      <c r="E10" s="65">
        <v>0</v>
      </c>
    </row>
    <row r="11" spans="1:5" ht="16" outlineLevel="2">
      <c r="A11" s="713"/>
      <c r="B11" s="714"/>
      <c r="C11" s="714"/>
      <c r="D11" s="68" t="s">
        <v>31</v>
      </c>
      <c r="E11" s="65">
        <v>0</v>
      </c>
    </row>
    <row r="12" spans="1:5" ht="16" outlineLevel="2">
      <c r="A12" s="713"/>
      <c r="B12" s="714"/>
      <c r="C12" s="714"/>
      <c r="D12" s="68" t="s">
        <v>32</v>
      </c>
      <c r="E12" s="65">
        <v>0</v>
      </c>
    </row>
    <row r="13" spans="1:5" ht="16" outlineLevel="2">
      <c r="A13" s="713"/>
      <c r="B13" s="714"/>
      <c r="C13" s="714"/>
      <c r="D13" s="68" t="s">
        <v>33</v>
      </c>
      <c r="E13" s="65">
        <v>0</v>
      </c>
    </row>
    <row r="14" spans="1:5" ht="17" outlineLevel="2" thickBot="1">
      <c r="A14" s="713"/>
      <c r="B14" s="714"/>
      <c r="C14" s="714"/>
      <c r="D14" s="69" t="s">
        <v>34</v>
      </c>
      <c r="E14" s="66">
        <v>0</v>
      </c>
    </row>
    <row r="15" spans="1:5" ht="16" outlineLevel="2">
      <c r="A15" s="713" t="s">
        <v>84</v>
      </c>
      <c r="B15" s="714" t="s">
        <v>75</v>
      </c>
      <c r="C15" s="714">
        <v>718006</v>
      </c>
      <c r="D15" s="67" t="s">
        <v>25</v>
      </c>
      <c r="E15" s="65">
        <v>0</v>
      </c>
    </row>
    <row r="16" spans="1:5" ht="16" outlineLevel="2">
      <c r="A16" s="713"/>
      <c r="B16" s="714"/>
      <c r="C16" s="714"/>
      <c r="D16" s="68" t="s">
        <v>26</v>
      </c>
      <c r="E16" s="65">
        <v>0</v>
      </c>
    </row>
    <row r="17" spans="1:5" ht="16" outlineLevel="2">
      <c r="A17" s="713"/>
      <c r="B17" s="714"/>
      <c r="C17" s="714"/>
      <c r="D17" s="68" t="s">
        <v>27</v>
      </c>
      <c r="E17" s="65">
        <v>0</v>
      </c>
    </row>
    <row r="18" spans="1:5" ht="16" outlineLevel="2">
      <c r="A18" s="713"/>
      <c r="B18" s="714"/>
      <c r="C18" s="714"/>
      <c r="D18" s="68" t="s">
        <v>28</v>
      </c>
      <c r="E18" s="65">
        <v>0</v>
      </c>
    </row>
    <row r="19" spans="1:5" ht="16" outlineLevel="2">
      <c r="A19" s="713"/>
      <c r="B19" s="714"/>
      <c r="C19" s="714"/>
      <c r="D19" s="68" t="s">
        <v>29</v>
      </c>
      <c r="E19" s="65">
        <v>0</v>
      </c>
    </row>
    <row r="20" spans="1:5" ht="16" outlineLevel="2">
      <c r="A20" s="713"/>
      <c r="B20" s="714"/>
      <c r="C20" s="714"/>
      <c r="D20" s="68" t="s">
        <v>30</v>
      </c>
      <c r="E20" s="65">
        <v>0</v>
      </c>
    </row>
    <row r="21" spans="1:5" ht="16" outlineLevel="2">
      <c r="A21" s="713"/>
      <c r="B21" s="714"/>
      <c r="C21" s="714"/>
      <c r="D21" s="68" t="s">
        <v>31</v>
      </c>
      <c r="E21" s="65">
        <v>0</v>
      </c>
    </row>
    <row r="22" spans="1:5" ht="16" outlineLevel="2">
      <c r="A22" s="713"/>
      <c r="B22" s="714"/>
      <c r="C22" s="714"/>
      <c r="D22" s="68" t="s">
        <v>32</v>
      </c>
      <c r="E22" s="65">
        <v>0</v>
      </c>
    </row>
    <row r="23" spans="1:5" ht="16" outlineLevel="2">
      <c r="A23" s="713"/>
      <c r="B23" s="714"/>
      <c r="C23" s="714"/>
      <c r="D23" s="68" t="s">
        <v>33</v>
      </c>
      <c r="E23" s="65">
        <v>0</v>
      </c>
    </row>
    <row r="24" spans="1:5" ht="17" outlineLevel="2" thickBot="1">
      <c r="A24" s="713"/>
      <c r="B24" s="714"/>
      <c r="C24" s="714"/>
      <c r="D24" s="69" t="s">
        <v>34</v>
      </c>
      <c r="E24" s="66">
        <v>0</v>
      </c>
    </row>
    <row r="25" spans="1:5" ht="16" outlineLevel="1" thickBot="1">
      <c r="A25" s="17" t="s">
        <v>109</v>
      </c>
      <c r="B25" s="17"/>
      <c r="C25" s="17"/>
      <c r="D25" s="28"/>
      <c r="E25" s="132">
        <f>SUM(E26:E75)</f>
        <v>0</v>
      </c>
    </row>
    <row r="26" spans="1:5" ht="16" outlineLevel="2">
      <c r="A26" s="713" t="s">
        <v>85</v>
      </c>
      <c r="B26" s="714" t="s">
        <v>83</v>
      </c>
      <c r="C26" s="714">
        <v>635009</v>
      </c>
      <c r="D26" s="67" t="s">
        <v>25</v>
      </c>
      <c r="E26" s="71">
        <v>0</v>
      </c>
    </row>
    <row r="27" spans="1:5" ht="16" outlineLevel="2">
      <c r="A27" s="713"/>
      <c r="B27" s="714"/>
      <c r="C27" s="714"/>
      <c r="D27" s="68" t="s">
        <v>26</v>
      </c>
      <c r="E27" s="72">
        <v>0</v>
      </c>
    </row>
    <row r="28" spans="1:5" ht="16" outlineLevel="2">
      <c r="A28" s="713"/>
      <c r="B28" s="714"/>
      <c r="C28" s="714"/>
      <c r="D28" s="68" t="s">
        <v>27</v>
      </c>
      <c r="E28" s="72">
        <v>0</v>
      </c>
    </row>
    <row r="29" spans="1:5" ht="16" outlineLevel="2">
      <c r="A29" s="713"/>
      <c r="B29" s="714"/>
      <c r="C29" s="714"/>
      <c r="D29" s="68" t="s">
        <v>28</v>
      </c>
      <c r="E29" s="72">
        <v>0</v>
      </c>
    </row>
    <row r="30" spans="1:5" ht="16" outlineLevel="2">
      <c r="A30" s="713"/>
      <c r="B30" s="714"/>
      <c r="C30" s="714"/>
      <c r="D30" s="68" t="s">
        <v>29</v>
      </c>
      <c r="E30" s="72">
        <v>0</v>
      </c>
    </row>
    <row r="31" spans="1:5" ht="16" outlineLevel="2">
      <c r="A31" s="713"/>
      <c r="B31" s="714"/>
      <c r="C31" s="714"/>
      <c r="D31" s="68" t="s">
        <v>30</v>
      </c>
      <c r="E31" s="72">
        <v>0</v>
      </c>
    </row>
    <row r="32" spans="1:5" ht="16" outlineLevel="2">
      <c r="A32" s="713"/>
      <c r="B32" s="714"/>
      <c r="C32" s="714"/>
      <c r="D32" s="68" t="s">
        <v>31</v>
      </c>
      <c r="E32" s="72">
        <v>0</v>
      </c>
    </row>
    <row r="33" spans="1:5" ht="16" outlineLevel="2">
      <c r="A33" s="713"/>
      <c r="B33" s="714"/>
      <c r="C33" s="714"/>
      <c r="D33" s="68" t="s">
        <v>32</v>
      </c>
      <c r="E33" s="72">
        <v>0</v>
      </c>
    </row>
    <row r="34" spans="1:5" ht="16" outlineLevel="2">
      <c r="A34" s="713"/>
      <c r="B34" s="714"/>
      <c r="C34" s="714"/>
      <c r="D34" s="68" t="s">
        <v>33</v>
      </c>
      <c r="E34" s="72">
        <v>0</v>
      </c>
    </row>
    <row r="35" spans="1:5" ht="17" outlineLevel="2" thickBot="1">
      <c r="A35" s="713"/>
      <c r="B35" s="714"/>
      <c r="C35" s="714"/>
      <c r="D35" s="69" t="s">
        <v>34</v>
      </c>
      <c r="E35" s="73">
        <v>0</v>
      </c>
    </row>
    <row r="36" spans="1:5" ht="16" outlineLevel="2">
      <c r="A36" s="713" t="s">
        <v>86</v>
      </c>
      <c r="B36" s="714" t="s">
        <v>80</v>
      </c>
      <c r="C36" s="714">
        <v>637005</v>
      </c>
      <c r="D36" s="67" t="s">
        <v>25</v>
      </c>
      <c r="E36" s="72">
        <v>0</v>
      </c>
    </row>
    <row r="37" spans="1:5" ht="16" outlineLevel="2">
      <c r="A37" s="713"/>
      <c r="B37" s="714"/>
      <c r="C37" s="714"/>
      <c r="D37" s="68" t="s">
        <v>26</v>
      </c>
      <c r="E37" s="72">
        <v>0</v>
      </c>
    </row>
    <row r="38" spans="1:5" ht="16" outlineLevel="2">
      <c r="A38" s="713"/>
      <c r="B38" s="714"/>
      <c r="C38" s="714"/>
      <c r="D38" s="68" t="s">
        <v>27</v>
      </c>
      <c r="E38" s="72">
        <v>0</v>
      </c>
    </row>
    <row r="39" spans="1:5" ht="16" outlineLevel="2">
      <c r="A39" s="713"/>
      <c r="B39" s="714"/>
      <c r="C39" s="714"/>
      <c r="D39" s="68" t="s">
        <v>28</v>
      </c>
      <c r="E39" s="72">
        <v>0</v>
      </c>
    </row>
    <row r="40" spans="1:5" ht="16" outlineLevel="2">
      <c r="A40" s="713"/>
      <c r="B40" s="714"/>
      <c r="C40" s="714"/>
      <c r="D40" s="68" t="s">
        <v>29</v>
      </c>
      <c r="E40" s="72">
        <v>0</v>
      </c>
    </row>
    <row r="41" spans="1:5" ht="16" outlineLevel="2">
      <c r="A41" s="713"/>
      <c r="B41" s="714"/>
      <c r="C41" s="714"/>
      <c r="D41" s="68" t="s">
        <v>30</v>
      </c>
      <c r="E41" s="72">
        <v>0</v>
      </c>
    </row>
    <row r="42" spans="1:5" ht="16" outlineLevel="2">
      <c r="A42" s="713"/>
      <c r="B42" s="714"/>
      <c r="C42" s="714"/>
      <c r="D42" s="68" t="s">
        <v>31</v>
      </c>
      <c r="E42" s="72">
        <v>0</v>
      </c>
    </row>
    <row r="43" spans="1:5" ht="16" outlineLevel="2">
      <c r="A43" s="713"/>
      <c r="B43" s="714"/>
      <c r="C43" s="714"/>
      <c r="D43" s="68" t="s">
        <v>32</v>
      </c>
      <c r="E43" s="72">
        <v>0</v>
      </c>
    </row>
    <row r="44" spans="1:5" ht="16" outlineLevel="2">
      <c r="A44" s="713"/>
      <c r="B44" s="714"/>
      <c r="C44" s="714"/>
      <c r="D44" s="68" t="s">
        <v>33</v>
      </c>
      <c r="E44" s="72">
        <v>0</v>
      </c>
    </row>
    <row r="45" spans="1:5" ht="17" outlineLevel="2" thickBot="1">
      <c r="A45" s="713"/>
      <c r="B45" s="714"/>
      <c r="C45" s="714"/>
      <c r="D45" s="69" t="s">
        <v>34</v>
      </c>
      <c r="E45" s="73">
        <v>0</v>
      </c>
    </row>
    <row r="46" spans="1:5" ht="16" outlineLevel="2">
      <c r="A46" s="713" t="s">
        <v>87</v>
      </c>
      <c r="B46" s="714" t="s">
        <v>75</v>
      </c>
      <c r="C46" s="714">
        <v>718006</v>
      </c>
      <c r="D46" s="67" t="s">
        <v>25</v>
      </c>
      <c r="E46" s="72">
        <v>0</v>
      </c>
    </row>
    <row r="47" spans="1:5" ht="16" outlineLevel="2">
      <c r="A47" s="713"/>
      <c r="B47" s="714"/>
      <c r="C47" s="714"/>
      <c r="D47" s="68" t="s">
        <v>26</v>
      </c>
      <c r="E47" s="72">
        <v>0</v>
      </c>
    </row>
    <row r="48" spans="1:5" ht="16" outlineLevel="2">
      <c r="A48" s="713"/>
      <c r="B48" s="714"/>
      <c r="C48" s="714"/>
      <c r="D48" s="68" t="s">
        <v>27</v>
      </c>
      <c r="E48" s="72">
        <v>0</v>
      </c>
    </row>
    <row r="49" spans="1:5" ht="16" outlineLevel="2">
      <c r="A49" s="713"/>
      <c r="B49" s="714"/>
      <c r="C49" s="714"/>
      <c r="D49" s="68" t="s">
        <v>28</v>
      </c>
      <c r="E49" s="72">
        <v>0</v>
      </c>
    </row>
    <row r="50" spans="1:5" ht="16" outlineLevel="2">
      <c r="A50" s="713"/>
      <c r="B50" s="714"/>
      <c r="C50" s="714"/>
      <c r="D50" s="68" t="s">
        <v>29</v>
      </c>
      <c r="E50" s="72">
        <v>0</v>
      </c>
    </row>
    <row r="51" spans="1:5" ht="16" outlineLevel="2">
      <c r="A51" s="713"/>
      <c r="B51" s="714"/>
      <c r="C51" s="714"/>
      <c r="D51" s="68" t="s">
        <v>30</v>
      </c>
      <c r="E51" s="72">
        <v>0</v>
      </c>
    </row>
    <row r="52" spans="1:5" ht="16" outlineLevel="2">
      <c r="A52" s="713"/>
      <c r="B52" s="714"/>
      <c r="C52" s="714"/>
      <c r="D52" s="68" t="s">
        <v>31</v>
      </c>
      <c r="E52" s="72">
        <v>0</v>
      </c>
    </row>
    <row r="53" spans="1:5" ht="16" outlineLevel="2">
      <c r="A53" s="713"/>
      <c r="B53" s="714"/>
      <c r="C53" s="714"/>
      <c r="D53" s="68" t="s">
        <v>32</v>
      </c>
      <c r="E53" s="72">
        <v>0</v>
      </c>
    </row>
    <row r="54" spans="1:5" ht="16" outlineLevel="2">
      <c r="A54" s="713"/>
      <c r="B54" s="714"/>
      <c r="C54" s="714"/>
      <c r="D54" s="68" t="s">
        <v>33</v>
      </c>
      <c r="E54" s="72">
        <v>0</v>
      </c>
    </row>
    <row r="55" spans="1:5" ht="17" outlineLevel="2" thickBot="1">
      <c r="A55" s="713"/>
      <c r="B55" s="714"/>
      <c r="C55" s="714"/>
      <c r="D55" s="69" t="s">
        <v>34</v>
      </c>
      <c r="E55" s="73">
        <v>0</v>
      </c>
    </row>
    <row r="56" spans="1:5" ht="16" outlineLevel="2">
      <c r="A56" s="713" t="s">
        <v>88</v>
      </c>
      <c r="B56" s="714" t="s">
        <v>89</v>
      </c>
      <c r="C56" s="714"/>
      <c r="D56" s="67" t="s">
        <v>25</v>
      </c>
      <c r="E56" s="72">
        <v>0</v>
      </c>
    </row>
    <row r="57" spans="1:5" ht="16" outlineLevel="2">
      <c r="A57" s="713"/>
      <c r="B57" s="714"/>
      <c r="C57" s="714"/>
      <c r="D57" s="68" t="s">
        <v>26</v>
      </c>
      <c r="E57" s="72">
        <v>0</v>
      </c>
    </row>
    <row r="58" spans="1:5" ht="16" outlineLevel="2">
      <c r="A58" s="713"/>
      <c r="B58" s="714"/>
      <c r="C58" s="714"/>
      <c r="D58" s="68" t="s">
        <v>27</v>
      </c>
      <c r="E58" s="72">
        <v>0</v>
      </c>
    </row>
    <row r="59" spans="1:5" ht="16" outlineLevel="2">
      <c r="A59" s="713"/>
      <c r="B59" s="714"/>
      <c r="C59" s="714"/>
      <c r="D59" s="68" t="s">
        <v>28</v>
      </c>
      <c r="E59" s="72">
        <v>0</v>
      </c>
    </row>
    <row r="60" spans="1:5" ht="16" outlineLevel="2">
      <c r="A60" s="713"/>
      <c r="B60" s="714"/>
      <c r="C60" s="714"/>
      <c r="D60" s="68" t="s">
        <v>29</v>
      </c>
      <c r="E60" s="72">
        <v>0</v>
      </c>
    </row>
    <row r="61" spans="1:5" ht="16" outlineLevel="2">
      <c r="A61" s="713"/>
      <c r="B61" s="714"/>
      <c r="C61" s="714"/>
      <c r="D61" s="68" t="s">
        <v>30</v>
      </c>
      <c r="E61" s="72">
        <v>0</v>
      </c>
    </row>
    <row r="62" spans="1:5" ht="16" outlineLevel="2">
      <c r="A62" s="713"/>
      <c r="B62" s="714"/>
      <c r="C62" s="714"/>
      <c r="D62" s="68" t="s">
        <v>31</v>
      </c>
      <c r="E62" s="72">
        <v>0</v>
      </c>
    </row>
    <row r="63" spans="1:5" ht="16" outlineLevel="2">
      <c r="A63" s="713"/>
      <c r="B63" s="714"/>
      <c r="C63" s="714"/>
      <c r="D63" s="68" t="s">
        <v>32</v>
      </c>
      <c r="E63" s="72">
        <v>0</v>
      </c>
    </row>
    <row r="64" spans="1:5" ht="16" outlineLevel="2">
      <c r="A64" s="713"/>
      <c r="B64" s="714"/>
      <c r="C64" s="714"/>
      <c r="D64" s="68" t="s">
        <v>33</v>
      </c>
      <c r="E64" s="72">
        <v>0</v>
      </c>
    </row>
    <row r="65" spans="1:5" ht="17" outlineLevel="2" thickBot="1">
      <c r="A65" s="713"/>
      <c r="B65" s="714"/>
      <c r="C65" s="714"/>
      <c r="D65" s="69" t="s">
        <v>34</v>
      </c>
      <c r="E65" s="73">
        <v>0</v>
      </c>
    </row>
    <row r="66" spans="1:5" ht="16" outlineLevel="2">
      <c r="A66" s="713" t="s">
        <v>79</v>
      </c>
      <c r="B66" s="714" t="s">
        <v>80</v>
      </c>
      <c r="C66" s="714">
        <v>637001</v>
      </c>
      <c r="D66" s="67" t="s">
        <v>25</v>
      </c>
      <c r="E66" s="72">
        <v>0</v>
      </c>
    </row>
    <row r="67" spans="1:5" ht="16" outlineLevel="2">
      <c r="A67" s="713"/>
      <c r="B67" s="714"/>
      <c r="C67" s="714"/>
      <c r="D67" s="68" t="s">
        <v>26</v>
      </c>
      <c r="E67" s="72">
        <v>0</v>
      </c>
    </row>
    <row r="68" spans="1:5" ht="16" outlineLevel="2">
      <c r="A68" s="713"/>
      <c r="B68" s="714"/>
      <c r="C68" s="714"/>
      <c r="D68" s="68" t="s">
        <v>27</v>
      </c>
      <c r="E68" s="72">
        <v>0</v>
      </c>
    </row>
    <row r="69" spans="1:5" ht="16" outlineLevel="2">
      <c r="A69" s="713"/>
      <c r="B69" s="714"/>
      <c r="C69" s="714"/>
      <c r="D69" s="68" t="s">
        <v>28</v>
      </c>
      <c r="E69" s="72">
        <v>0</v>
      </c>
    </row>
    <row r="70" spans="1:5" ht="16" outlineLevel="2">
      <c r="A70" s="713"/>
      <c r="B70" s="714"/>
      <c r="C70" s="714"/>
      <c r="D70" s="68" t="s">
        <v>29</v>
      </c>
      <c r="E70" s="72">
        <v>0</v>
      </c>
    </row>
    <row r="71" spans="1:5" ht="16" outlineLevel="2">
      <c r="A71" s="713"/>
      <c r="B71" s="714"/>
      <c r="C71" s="714"/>
      <c r="D71" s="68" t="s">
        <v>30</v>
      </c>
      <c r="E71" s="72">
        <v>0</v>
      </c>
    </row>
    <row r="72" spans="1:5" ht="16" outlineLevel="2">
      <c r="A72" s="713"/>
      <c r="B72" s="714"/>
      <c r="C72" s="714"/>
      <c r="D72" s="68" t="s">
        <v>31</v>
      </c>
      <c r="E72" s="72">
        <v>0</v>
      </c>
    </row>
    <row r="73" spans="1:5" ht="16" outlineLevel="2">
      <c r="A73" s="713"/>
      <c r="B73" s="714"/>
      <c r="C73" s="714"/>
      <c r="D73" s="68" t="s">
        <v>32</v>
      </c>
      <c r="E73" s="72">
        <v>0</v>
      </c>
    </row>
    <row r="74" spans="1:5" ht="16" outlineLevel="2">
      <c r="A74" s="713"/>
      <c r="B74" s="714"/>
      <c r="C74" s="714"/>
      <c r="D74" s="68" t="s">
        <v>33</v>
      </c>
      <c r="E74" s="72">
        <v>0</v>
      </c>
    </row>
    <row r="75" spans="1:5" ht="17" outlineLevel="2" thickBot="1">
      <c r="A75" s="713"/>
      <c r="B75" s="714"/>
      <c r="C75" s="714"/>
      <c r="D75" s="69" t="s">
        <v>34</v>
      </c>
      <c r="E75" s="73">
        <v>0</v>
      </c>
    </row>
  </sheetData>
  <mergeCells count="23">
    <mergeCell ref="A56:A65"/>
    <mergeCell ref="B56:B65"/>
    <mergeCell ref="C56:C65"/>
    <mergeCell ref="A66:A75"/>
    <mergeCell ref="B66:B75"/>
    <mergeCell ref="C66:C75"/>
    <mergeCell ref="A36:A45"/>
    <mergeCell ref="B36:B45"/>
    <mergeCell ref="C36:C45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A1:D1"/>
    <mergeCell ref="A3:C3"/>
    <mergeCell ref="A5:A14"/>
    <mergeCell ref="B5:B14"/>
    <mergeCell ref="C5:C14"/>
  </mergeCells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  <outlinePr summaryBelow="0" summaryRight="0"/>
  </sheetPr>
  <dimension ref="A1:E53"/>
  <sheetViews>
    <sheetView view="pageBreakPreview" topLeftCell="A35" zoomScale="80" zoomScaleNormal="85" zoomScaleSheetLayoutView="80" workbookViewId="0">
      <selection activeCell="F13" sqref="F13"/>
    </sheetView>
  </sheetViews>
  <sheetFormatPr baseColWidth="10" defaultColWidth="8.83203125" defaultRowHeight="15" outlineLevelRow="1"/>
  <cols>
    <col min="1" max="1" width="22.5" customWidth="1"/>
    <col min="2" max="2" width="23.33203125" customWidth="1"/>
    <col min="3" max="3" width="22.5" customWidth="1"/>
    <col min="5" max="5" width="17.83203125" customWidth="1"/>
  </cols>
  <sheetData>
    <row r="1" spans="1:5" ht="25.5" customHeight="1" thickBot="1">
      <c r="A1" s="709" t="s">
        <v>100</v>
      </c>
      <c r="B1" s="709"/>
      <c r="C1" s="709"/>
      <c r="D1" s="710"/>
      <c r="E1" s="70" t="s">
        <v>35</v>
      </c>
    </row>
    <row r="2" spans="1:5" ht="16" thickBot="1">
      <c r="A2" s="40" t="s">
        <v>0</v>
      </c>
      <c r="B2" s="75" t="s">
        <v>77</v>
      </c>
      <c r="C2" s="75" t="s">
        <v>76</v>
      </c>
      <c r="D2" s="75" t="s">
        <v>23</v>
      </c>
      <c r="E2" s="17"/>
    </row>
    <row r="3" spans="1:5" ht="16" thickBot="1">
      <c r="A3" s="715" t="s">
        <v>91</v>
      </c>
      <c r="B3" s="715"/>
      <c r="C3" s="715"/>
      <c r="D3" s="76"/>
      <c r="E3" s="77">
        <f>SUM(E4:E53)</f>
        <v>0</v>
      </c>
    </row>
    <row r="4" spans="1:5" ht="16" outlineLevel="1">
      <c r="A4" s="713" t="s">
        <v>96</v>
      </c>
      <c r="B4" s="714" t="s">
        <v>83</v>
      </c>
      <c r="C4" s="714">
        <v>635002</v>
      </c>
      <c r="D4" s="67" t="s">
        <v>25</v>
      </c>
      <c r="E4" s="71">
        <v>0</v>
      </c>
    </row>
    <row r="5" spans="1:5" ht="16" outlineLevel="1">
      <c r="A5" s="713"/>
      <c r="B5" s="714"/>
      <c r="C5" s="714"/>
      <c r="D5" s="68" t="s">
        <v>26</v>
      </c>
      <c r="E5" s="72">
        <v>0</v>
      </c>
    </row>
    <row r="6" spans="1:5" ht="16" outlineLevel="1">
      <c r="A6" s="713"/>
      <c r="B6" s="714"/>
      <c r="C6" s="714"/>
      <c r="D6" s="68" t="s">
        <v>27</v>
      </c>
      <c r="E6" s="72">
        <v>0</v>
      </c>
    </row>
    <row r="7" spans="1:5" ht="16" outlineLevel="1">
      <c r="A7" s="713"/>
      <c r="B7" s="714"/>
      <c r="C7" s="714"/>
      <c r="D7" s="68" t="s">
        <v>28</v>
      </c>
      <c r="E7" s="72">
        <v>0</v>
      </c>
    </row>
    <row r="8" spans="1:5" ht="16" outlineLevel="1">
      <c r="A8" s="713"/>
      <c r="B8" s="714"/>
      <c r="C8" s="714"/>
      <c r="D8" s="68" t="s">
        <v>29</v>
      </c>
      <c r="E8" s="72">
        <v>0</v>
      </c>
    </row>
    <row r="9" spans="1:5" ht="16" outlineLevel="1">
      <c r="A9" s="713"/>
      <c r="B9" s="714"/>
      <c r="C9" s="714"/>
      <c r="D9" s="68" t="s">
        <v>30</v>
      </c>
      <c r="E9" s="72">
        <v>0</v>
      </c>
    </row>
    <row r="10" spans="1:5" ht="16" outlineLevel="1">
      <c r="A10" s="713"/>
      <c r="B10" s="714"/>
      <c r="C10" s="714"/>
      <c r="D10" s="68" t="s">
        <v>31</v>
      </c>
      <c r="E10" s="72">
        <v>0</v>
      </c>
    </row>
    <row r="11" spans="1:5" ht="16" outlineLevel="1">
      <c r="A11" s="713"/>
      <c r="B11" s="714"/>
      <c r="C11" s="714"/>
      <c r="D11" s="68" t="s">
        <v>32</v>
      </c>
      <c r="E11" s="72">
        <v>0</v>
      </c>
    </row>
    <row r="12" spans="1:5" ht="16" outlineLevel="1">
      <c r="A12" s="713"/>
      <c r="B12" s="714"/>
      <c r="C12" s="714"/>
      <c r="D12" s="68" t="s">
        <v>33</v>
      </c>
      <c r="E12" s="72">
        <v>0</v>
      </c>
    </row>
    <row r="13" spans="1:5" ht="17" outlineLevel="1" thickBot="1">
      <c r="A13" s="713"/>
      <c r="B13" s="714"/>
      <c r="C13" s="714"/>
      <c r="D13" s="69" t="s">
        <v>34</v>
      </c>
      <c r="E13" s="73">
        <v>0</v>
      </c>
    </row>
    <row r="14" spans="1:5" ht="16" outlineLevel="1">
      <c r="A14" s="713" t="s">
        <v>97</v>
      </c>
      <c r="B14" s="713" t="s">
        <v>95</v>
      </c>
      <c r="C14" s="714">
        <v>718002</v>
      </c>
      <c r="D14" s="67" t="s">
        <v>25</v>
      </c>
      <c r="E14" s="72">
        <v>0</v>
      </c>
    </row>
    <row r="15" spans="1:5" ht="16" outlineLevel="1">
      <c r="A15" s="713"/>
      <c r="B15" s="714"/>
      <c r="C15" s="714"/>
      <c r="D15" s="68" t="s">
        <v>26</v>
      </c>
      <c r="E15" s="72">
        <v>0</v>
      </c>
    </row>
    <row r="16" spans="1:5" ht="16" outlineLevel="1">
      <c r="A16" s="713"/>
      <c r="B16" s="714"/>
      <c r="C16" s="714"/>
      <c r="D16" s="68" t="s">
        <v>27</v>
      </c>
      <c r="E16" s="72">
        <v>0</v>
      </c>
    </row>
    <row r="17" spans="1:5" ht="16" outlineLevel="1">
      <c r="A17" s="713"/>
      <c r="B17" s="714"/>
      <c r="C17" s="714"/>
      <c r="D17" s="68" t="s">
        <v>28</v>
      </c>
      <c r="E17" s="72">
        <v>0</v>
      </c>
    </row>
    <row r="18" spans="1:5" ht="16" outlineLevel="1">
      <c r="A18" s="713"/>
      <c r="B18" s="714"/>
      <c r="C18" s="714"/>
      <c r="D18" s="68" t="s">
        <v>29</v>
      </c>
      <c r="E18" s="72">
        <v>0</v>
      </c>
    </row>
    <row r="19" spans="1:5" ht="16" outlineLevel="1">
      <c r="A19" s="713"/>
      <c r="B19" s="714"/>
      <c r="C19" s="714"/>
      <c r="D19" s="68" t="s">
        <v>30</v>
      </c>
      <c r="E19" s="72">
        <v>0</v>
      </c>
    </row>
    <row r="20" spans="1:5" ht="16" outlineLevel="1">
      <c r="A20" s="713"/>
      <c r="B20" s="714"/>
      <c r="C20" s="714"/>
      <c r="D20" s="68" t="s">
        <v>31</v>
      </c>
      <c r="E20" s="72">
        <v>0</v>
      </c>
    </row>
    <row r="21" spans="1:5" ht="16" outlineLevel="1">
      <c r="A21" s="713"/>
      <c r="B21" s="714"/>
      <c r="C21" s="714"/>
      <c r="D21" s="68" t="s">
        <v>32</v>
      </c>
      <c r="E21" s="72">
        <v>0</v>
      </c>
    </row>
    <row r="22" spans="1:5" ht="16" outlineLevel="1">
      <c r="A22" s="713"/>
      <c r="B22" s="714"/>
      <c r="C22" s="714"/>
      <c r="D22" s="68" t="s">
        <v>33</v>
      </c>
      <c r="E22" s="72">
        <v>0</v>
      </c>
    </row>
    <row r="23" spans="1:5" ht="17" outlineLevel="1" thickBot="1">
      <c r="A23" s="713"/>
      <c r="B23" s="714"/>
      <c r="C23" s="714"/>
      <c r="D23" s="69" t="s">
        <v>34</v>
      </c>
      <c r="E23" s="73">
        <v>0</v>
      </c>
    </row>
    <row r="24" spans="1:5" ht="16" outlineLevel="1">
      <c r="A24" s="713" t="s">
        <v>98</v>
      </c>
      <c r="B24" s="714"/>
      <c r="C24" s="714"/>
      <c r="D24" s="67" t="s">
        <v>25</v>
      </c>
      <c r="E24" s="72">
        <v>0</v>
      </c>
    </row>
    <row r="25" spans="1:5" ht="16" outlineLevel="1">
      <c r="A25" s="713"/>
      <c r="B25" s="714"/>
      <c r="C25" s="714"/>
      <c r="D25" s="68" t="s">
        <v>26</v>
      </c>
      <c r="E25" s="72">
        <v>0</v>
      </c>
    </row>
    <row r="26" spans="1:5" ht="16" outlineLevel="1">
      <c r="A26" s="713"/>
      <c r="B26" s="714"/>
      <c r="C26" s="714"/>
      <c r="D26" s="68" t="s">
        <v>27</v>
      </c>
      <c r="E26" s="72">
        <v>0</v>
      </c>
    </row>
    <row r="27" spans="1:5" ht="16" outlineLevel="1">
      <c r="A27" s="713"/>
      <c r="B27" s="714"/>
      <c r="C27" s="714"/>
      <c r="D27" s="68" t="s">
        <v>28</v>
      </c>
      <c r="E27" s="72">
        <v>0</v>
      </c>
    </row>
    <row r="28" spans="1:5" ht="16" outlineLevel="1">
      <c r="A28" s="713"/>
      <c r="B28" s="714"/>
      <c r="C28" s="714"/>
      <c r="D28" s="68" t="s">
        <v>29</v>
      </c>
      <c r="E28" s="72">
        <v>0</v>
      </c>
    </row>
    <row r="29" spans="1:5" ht="16" outlineLevel="1">
      <c r="A29" s="713"/>
      <c r="B29" s="714"/>
      <c r="C29" s="714"/>
      <c r="D29" s="68" t="s">
        <v>30</v>
      </c>
      <c r="E29" s="72">
        <v>0</v>
      </c>
    </row>
    <row r="30" spans="1:5" ht="16" outlineLevel="1">
      <c r="A30" s="713"/>
      <c r="B30" s="714"/>
      <c r="C30" s="714"/>
      <c r="D30" s="68" t="s">
        <v>31</v>
      </c>
      <c r="E30" s="72">
        <v>0</v>
      </c>
    </row>
    <row r="31" spans="1:5" ht="16" outlineLevel="1">
      <c r="A31" s="713"/>
      <c r="B31" s="714"/>
      <c r="C31" s="714"/>
      <c r="D31" s="68" t="s">
        <v>32</v>
      </c>
      <c r="E31" s="72">
        <v>0</v>
      </c>
    </row>
    <row r="32" spans="1:5" ht="16" outlineLevel="1">
      <c r="A32" s="713"/>
      <c r="B32" s="714"/>
      <c r="C32" s="714"/>
      <c r="D32" s="68" t="s">
        <v>33</v>
      </c>
      <c r="E32" s="72">
        <v>0</v>
      </c>
    </row>
    <row r="33" spans="1:5" ht="17" outlineLevel="1" thickBot="1">
      <c r="A33" s="713"/>
      <c r="B33" s="714"/>
      <c r="C33" s="714"/>
      <c r="D33" s="69" t="s">
        <v>34</v>
      </c>
      <c r="E33" s="73">
        <v>0</v>
      </c>
    </row>
    <row r="34" spans="1:5" ht="16" outlineLevel="1">
      <c r="A34" s="713" t="s">
        <v>99</v>
      </c>
      <c r="B34" s="714"/>
      <c r="C34" s="714"/>
      <c r="D34" s="67" t="s">
        <v>25</v>
      </c>
      <c r="E34" s="72">
        <v>0</v>
      </c>
    </row>
    <row r="35" spans="1:5" ht="16" outlineLevel="1">
      <c r="A35" s="713"/>
      <c r="B35" s="714"/>
      <c r="C35" s="714"/>
      <c r="D35" s="68" t="s">
        <v>26</v>
      </c>
      <c r="E35" s="72">
        <v>0</v>
      </c>
    </row>
    <row r="36" spans="1:5" ht="16" outlineLevel="1">
      <c r="A36" s="713"/>
      <c r="B36" s="714"/>
      <c r="C36" s="714"/>
      <c r="D36" s="68" t="s">
        <v>27</v>
      </c>
      <c r="E36" s="72">
        <v>0</v>
      </c>
    </row>
    <row r="37" spans="1:5" ht="16" outlineLevel="1">
      <c r="A37" s="713"/>
      <c r="B37" s="714"/>
      <c r="C37" s="714"/>
      <c r="D37" s="68" t="s">
        <v>28</v>
      </c>
      <c r="E37" s="72">
        <v>0</v>
      </c>
    </row>
    <row r="38" spans="1:5" ht="16" outlineLevel="1">
      <c r="A38" s="713"/>
      <c r="B38" s="714"/>
      <c r="C38" s="714"/>
      <c r="D38" s="68" t="s">
        <v>29</v>
      </c>
      <c r="E38" s="72">
        <v>0</v>
      </c>
    </row>
    <row r="39" spans="1:5" ht="16" outlineLevel="1">
      <c r="A39" s="713"/>
      <c r="B39" s="714"/>
      <c r="C39" s="714"/>
      <c r="D39" s="68" t="s">
        <v>30</v>
      </c>
      <c r="E39" s="72">
        <v>0</v>
      </c>
    </row>
    <row r="40" spans="1:5" ht="16" outlineLevel="1">
      <c r="A40" s="713"/>
      <c r="B40" s="714"/>
      <c r="C40" s="714"/>
      <c r="D40" s="68" t="s">
        <v>31</v>
      </c>
      <c r="E40" s="72">
        <v>0</v>
      </c>
    </row>
    <row r="41" spans="1:5" ht="16" outlineLevel="1">
      <c r="A41" s="713"/>
      <c r="B41" s="714"/>
      <c r="C41" s="714"/>
      <c r="D41" s="68" t="s">
        <v>32</v>
      </c>
      <c r="E41" s="72">
        <v>0</v>
      </c>
    </row>
    <row r="42" spans="1:5" ht="16" outlineLevel="1">
      <c r="A42" s="713"/>
      <c r="B42" s="714"/>
      <c r="C42" s="714"/>
      <c r="D42" s="68" t="s">
        <v>33</v>
      </c>
      <c r="E42" s="72">
        <v>0</v>
      </c>
    </row>
    <row r="43" spans="1:5" ht="17" outlineLevel="1" thickBot="1">
      <c r="A43" s="713"/>
      <c r="B43" s="714"/>
      <c r="C43" s="714"/>
      <c r="D43" s="69" t="s">
        <v>34</v>
      </c>
      <c r="E43" s="73">
        <v>0</v>
      </c>
    </row>
    <row r="44" spans="1:5" ht="16" outlineLevel="1">
      <c r="A44" s="713" t="s">
        <v>94</v>
      </c>
      <c r="B44" s="714" t="s">
        <v>80</v>
      </c>
      <c r="C44" s="714">
        <v>637001</v>
      </c>
      <c r="D44" s="67" t="s">
        <v>25</v>
      </c>
      <c r="E44" s="72">
        <v>0</v>
      </c>
    </row>
    <row r="45" spans="1:5" ht="16" outlineLevel="1">
      <c r="A45" s="713"/>
      <c r="B45" s="714"/>
      <c r="C45" s="714"/>
      <c r="D45" s="68" t="s">
        <v>26</v>
      </c>
      <c r="E45" s="72">
        <v>0</v>
      </c>
    </row>
    <row r="46" spans="1:5" ht="16" outlineLevel="1">
      <c r="A46" s="713"/>
      <c r="B46" s="714"/>
      <c r="C46" s="714"/>
      <c r="D46" s="68" t="s">
        <v>27</v>
      </c>
      <c r="E46" s="72">
        <v>0</v>
      </c>
    </row>
    <row r="47" spans="1:5" ht="16" outlineLevel="1">
      <c r="A47" s="713"/>
      <c r="B47" s="714"/>
      <c r="C47" s="714"/>
      <c r="D47" s="68" t="s">
        <v>28</v>
      </c>
      <c r="E47" s="72">
        <v>0</v>
      </c>
    </row>
    <row r="48" spans="1:5" ht="16" outlineLevel="1">
      <c r="A48" s="713"/>
      <c r="B48" s="714"/>
      <c r="C48" s="714"/>
      <c r="D48" s="68" t="s">
        <v>29</v>
      </c>
      <c r="E48" s="72">
        <v>0</v>
      </c>
    </row>
    <row r="49" spans="1:5" ht="16" outlineLevel="1">
      <c r="A49" s="713"/>
      <c r="B49" s="714"/>
      <c r="C49" s="714"/>
      <c r="D49" s="68" t="s">
        <v>30</v>
      </c>
      <c r="E49" s="72">
        <v>0</v>
      </c>
    </row>
    <row r="50" spans="1:5" ht="16" outlineLevel="1">
      <c r="A50" s="713"/>
      <c r="B50" s="714"/>
      <c r="C50" s="714"/>
      <c r="D50" s="68" t="s">
        <v>31</v>
      </c>
      <c r="E50" s="72">
        <v>0</v>
      </c>
    </row>
    <row r="51" spans="1:5" ht="16" outlineLevel="1">
      <c r="A51" s="713"/>
      <c r="B51" s="714"/>
      <c r="C51" s="714"/>
      <c r="D51" s="68" t="s">
        <v>32</v>
      </c>
      <c r="E51" s="72">
        <v>0</v>
      </c>
    </row>
    <row r="52" spans="1:5" ht="16" outlineLevel="1">
      <c r="A52" s="713"/>
      <c r="B52" s="714"/>
      <c r="C52" s="714"/>
      <c r="D52" s="68" t="s">
        <v>33</v>
      </c>
      <c r="E52" s="72">
        <v>0</v>
      </c>
    </row>
    <row r="53" spans="1:5" ht="17" outlineLevel="1" thickBot="1">
      <c r="A53" s="713"/>
      <c r="B53" s="714"/>
      <c r="C53" s="714"/>
      <c r="D53" s="69" t="s">
        <v>34</v>
      </c>
      <c r="E53" s="73">
        <v>0</v>
      </c>
    </row>
  </sheetData>
  <mergeCells count="17">
    <mergeCell ref="A34:A43"/>
    <mergeCell ref="B34:B43"/>
    <mergeCell ref="C34:C43"/>
    <mergeCell ref="A44:A53"/>
    <mergeCell ref="B44:B53"/>
    <mergeCell ref="C44:C53"/>
    <mergeCell ref="A14:A23"/>
    <mergeCell ref="B14:B23"/>
    <mergeCell ref="C14:C23"/>
    <mergeCell ref="A24:A33"/>
    <mergeCell ref="B24:B33"/>
    <mergeCell ref="C24:C33"/>
    <mergeCell ref="A1:D1"/>
    <mergeCell ref="A3:C3"/>
    <mergeCell ref="A4:A13"/>
    <mergeCell ref="B4:B13"/>
    <mergeCell ref="C4:C13"/>
  </mergeCells>
  <pageMargins left="0.7" right="0.7" top="0.75" bottom="0.75" header="0.3" footer="0.3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CC"/>
    <outlinePr summaryBelow="0" summaryRight="0"/>
  </sheetPr>
  <dimension ref="A1:I170"/>
  <sheetViews>
    <sheetView view="pageBreakPreview" topLeftCell="A152" zoomScale="80" zoomScaleNormal="85" zoomScaleSheetLayoutView="80" workbookViewId="0">
      <selection activeCell="G115" sqref="G115"/>
    </sheetView>
  </sheetViews>
  <sheetFormatPr baseColWidth="10" defaultColWidth="8.83203125" defaultRowHeight="15" outlineLevelRow="2" outlineLevelCol="1"/>
  <cols>
    <col min="1" max="1" width="22.5" customWidth="1"/>
    <col min="2" max="2" width="23.33203125" customWidth="1"/>
    <col min="3" max="3" width="22.5" customWidth="1"/>
    <col min="5" max="5" width="17.83203125" customWidth="1"/>
    <col min="6" max="9" width="19.33203125" customWidth="1" outlineLevel="1"/>
  </cols>
  <sheetData>
    <row r="1" spans="1:9" ht="33" thickBot="1">
      <c r="A1" s="709" t="s">
        <v>101</v>
      </c>
      <c r="B1" s="709"/>
      <c r="C1" s="709"/>
      <c r="D1" s="710"/>
      <c r="E1" s="70" t="s">
        <v>35</v>
      </c>
      <c r="F1" s="332" t="s">
        <v>388</v>
      </c>
      <c r="G1" s="332" t="s">
        <v>363</v>
      </c>
      <c r="H1" s="332" t="s">
        <v>389</v>
      </c>
      <c r="I1" s="332" t="s">
        <v>390</v>
      </c>
    </row>
    <row r="2" spans="1:9" ht="16" thickBot="1">
      <c r="A2" s="40" t="s">
        <v>0</v>
      </c>
      <c r="B2" s="75" t="s">
        <v>77</v>
      </c>
      <c r="C2" s="75" t="s">
        <v>76</v>
      </c>
      <c r="D2" s="75" t="s">
        <v>23</v>
      </c>
      <c r="E2" s="17"/>
      <c r="F2" s="17"/>
      <c r="G2" s="17"/>
      <c r="H2" s="17"/>
      <c r="I2" s="17"/>
    </row>
    <row r="3" spans="1:9" ht="16" thickBot="1">
      <c r="A3" s="716" t="s">
        <v>121</v>
      </c>
      <c r="B3" s="717"/>
      <c r="C3" s="717"/>
      <c r="D3" s="79"/>
      <c r="E3" s="77">
        <f t="shared" ref="E3:I3" si="0">E4+E25</f>
        <v>1929018.9</v>
      </c>
      <c r="F3" s="78">
        <f t="shared" si="0"/>
        <v>334356.7</v>
      </c>
      <c r="G3" s="78">
        <f t="shared" si="0"/>
        <v>441910.3</v>
      </c>
      <c r="H3" s="287">
        <f t="shared" si="0"/>
        <v>615225.4</v>
      </c>
      <c r="I3" s="287">
        <f t="shared" si="0"/>
        <v>263365.2</v>
      </c>
    </row>
    <row r="4" spans="1:9" ht="16" outlineLevel="1" thickBot="1">
      <c r="A4" s="17" t="s">
        <v>108</v>
      </c>
      <c r="B4" s="17"/>
      <c r="C4" s="17"/>
      <c r="D4" s="28"/>
      <c r="E4" s="77">
        <f t="shared" ref="E4:I4" si="1">SUM(E5:E24)</f>
        <v>298728</v>
      </c>
      <c r="F4" s="78">
        <f t="shared" si="1"/>
        <v>99576</v>
      </c>
      <c r="G4" s="78">
        <f t="shared" si="1"/>
        <v>99576</v>
      </c>
      <c r="H4" s="287">
        <f t="shared" si="1"/>
        <v>99576</v>
      </c>
      <c r="I4" s="287">
        <f t="shared" si="1"/>
        <v>0</v>
      </c>
    </row>
    <row r="5" spans="1:9" ht="16" outlineLevel="2">
      <c r="A5" s="713" t="s">
        <v>74</v>
      </c>
      <c r="B5" s="714" t="s">
        <v>75</v>
      </c>
      <c r="C5" s="714">
        <v>711003</v>
      </c>
      <c r="D5" s="67" t="s">
        <v>25</v>
      </c>
      <c r="E5" s="64">
        <f t="shared" ref="E5:E24" si="2">SUM(F5:I5)</f>
        <v>298728</v>
      </c>
      <c r="F5" s="124">
        <f>'Rozpočet - HW a licencie'!$E$9/3</f>
        <v>99576</v>
      </c>
      <c r="G5" s="124">
        <f>'Rozpočet - HW a licencie'!$E$9/3</f>
        <v>99576</v>
      </c>
      <c r="H5" s="124">
        <f>'Rozpočet - HW a licencie'!$E$9/3</f>
        <v>99576</v>
      </c>
      <c r="I5" s="289">
        <v>0</v>
      </c>
    </row>
    <row r="6" spans="1:9" ht="16" outlineLevel="2">
      <c r="A6" s="713"/>
      <c r="B6" s="714"/>
      <c r="C6" s="714"/>
      <c r="D6" s="68" t="s">
        <v>26</v>
      </c>
      <c r="E6" s="65">
        <f t="shared" si="2"/>
        <v>0</v>
      </c>
      <c r="F6" s="126">
        <v>0</v>
      </c>
      <c r="G6" s="127">
        <v>0</v>
      </c>
      <c r="H6" s="289">
        <v>0</v>
      </c>
      <c r="I6" s="289">
        <v>0</v>
      </c>
    </row>
    <row r="7" spans="1:9" ht="16" outlineLevel="2">
      <c r="A7" s="713"/>
      <c r="B7" s="714"/>
      <c r="C7" s="714"/>
      <c r="D7" s="68" t="s">
        <v>27</v>
      </c>
      <c r="E7" s="65">
        <f t="shared" si="2"/>
        <v>0</v>
      </c>
      <c r="F7" s="126">
        <v>0</v>
      </c>
      <c r="G7" s="127">
        <v>0</v>
      </c>
      <c r="H7" s="289">
        <v>0</v>
      </c>
      <c r="I7" s="289">
        <v>0</v>
      </c>
    </row>
    <row r="8" spans="1:9" ht="16" outlineLevel="2">
      <c r="A8" s="713"/>
      <c r="B8" s="714"/>
      <c r="C8" s="714"/>
      <c r="D8" s="68" t="s">
        <v>28</v>
      </c>
      <c r="E8" s="65">
        <f t="shared" si="2"/>
        <v>0</v>
      </c>
      <c r="F8" s="126">
        <v>0</v>
      </c>
      <c r="G8" s="127">
        <v>0</v>
      </c>
      <c r="H8" s="289">
        <v>0</v>
      </c>
      <c r="I8" s="289">
        <v>0</v>
      </c>
    </row>
    <row r="9" spans="1:9" ht="16" outlineLevel="2">
      <c r="A9" s="713"/>
      <c r="B9" s="714"/>
      <c r="C9" s="714"/>
      <c r="D9" s="68" t="s">
        <v>29</v>
      </c>
      <c r="E9" s="65">
        <f t="shared" si="2"/>
        <v>0</v>
      </c>
      <c r="F9" s="126">
        <v>0</v>
      </c>
      <c r="G9" s="127">
        <v>0</v>
      </c>
      <c r="H9" s="289">
        <v>0</v>
      </c>
      <c r="I9" s="289">
        <v>0</v>
      </c>
    </row>
    <row r="10" spans="1:9" ht="16" outlineLevel="2">
      <c r="A10" s="713"/>
      <c r="B10" s="714"/>
      <c r="C10" s="714"/>
      <c r="D10" s="68" t="s">
        <v>30</v>
      </c>
      <c r="E10" s="65">
        <f t="shared" si="2"/>
        <v>0</v>
      </c>
      <c r="F10" s="126">
        <v>0</v>
      </c>
      <c r="G10" s="127">
        <v>0</v>
      </c>
      <c r="H10" s="289">
        <v>0</v>
      </c>
      <c r="I10" s="289">
        <v>0</v>
      </c>
    </row>
    <row r="11" spans="1:9" ht="16" outlineLevel="2">
      <c r="A11" s="713"/>
      <c r="B11" s="714"/>
      <c r="C11" s="714"/>
      <c r="D11" s="68" t="s">
        <v>31</v>
      </c>
      <c r="E11" s="65">
        <f t="shared" si="2"/>
        <v>0</v>
      </c>
      <c r="F11" s="126">
        <v>0</v>
      </c>
      <c r="G11" s="127">
        <v>0</v>
      </c>
      <c r="H11" s="289">
        <v>0</v>
      </c>
      <c r="I11" s="289">
        <v>0</v>
      </c>
    </row>
    <row r="12" spans="1:9" ht="16" outlineLevel="2">
      <c r="A12" s="713"/>
      <c r="B12" s="714"/>
      <c r="C12" s="714"/>
      <c r="D12" s="68" t="s">
        <v>32</v>
      </c>
      <c r="E12" s="65">
        <f t="shared" si="2"/>
        <v>0</v>
      </c>
      <c r="F12" s="126">
        <v>0</v>
      </c>
      <c r="G12" s="127">
        <v>0</v>
      </c>
      <c r="H12" s="289">
        <v>0</v>
      </c>
      <c r="I12" s="289">
        <v>0</v>
      </c>
    </row>
    <row r="13" spans="1:9" ht="16" outlineLevel="2">
      <c r="A13" s="713"/>
      <c r="B13" s="714"/>
      <c r="C13" s="714"/>
      <c r="D13" s="68" t="s">
        <v>33</v>
      </c>
      <c r="E13" s="65">
        <f t="shared" si="2"/>
        <v>0</v>
      </c>
      <c r="F13" s="126">
        <v>0</v>
      </c>
      <c r="G13" s="127">
        <v>0</v>
      </c>
      <c r="H13" s="289">
        <v>0</v>
      </c>
      <c r="I13" s="289">
        <v>0</v>
      </c>
    </row>
    <row r="14" spans="1:9" ht="17" outlineLevel="2" thickBot="1">
      <c r="A14" s="713"/>
      <c r="B14" s="714"/>
      <c r="C14" s="714"/>
      <c r="D14" s="69" t="s">
        <v>34</v>
      </c>
      <c r="E14" s="65">
        <f t="shared" si="2"/>
        <v>0</v>
      </c>
      <c r="F14" s="128">
        <v>0</v>
      </c>
      <c r="G14" s="129">
        <v>0</v>
      </c>
      <c r="H14" s="290">
        <v>0</v>
      </c>
      <c r="I14" s="290">
        <v>0</v>
      </c>
    </row>
    <row r="15" spans="1:9" ht="16" outlineLevel="2">
      <c r="A15" s="713" t="s">
        <v>74</v>
      </c>
      <c r="B15" s="714" t="s">
        <v>80</v>
      </c>
      <c r="C15" s="714">
        <v>633013</v>
      </c>
      <c r="D15" s="67" t="s">
        <v>25</v>
      </c>
      <c r="E15" s="64">
        <f t="shared" si="2"/>
        <v>0</v>
      </c>
      <c r="F15" s="124">
        <v>0</v>
      </c>
      <c r="G15" s="125">
        <v>0</v>
      </c>
      <c r="H15" s="288">
        <v>0</v>
      </c>
      <c r="I15" s="288">
        <v>0</v>
      </c>
    </row>
    <row r="16" spans="1:9" ht="16" outlineLevel="2">
      <c r="A16" s="713"/>
      <c r="B16" s="714"/>
      <c r="C16" s="714"/>
      <c r="D16" s="68" t="s">
        <v>26</v>
      </c>
      <c r="E16" s="65">
        <f t="shared" si="2"/>
        <v>0</v>
      </c>
      <c r="F16" s="126">
        <v>0</v>
      </c>
      <c r="G16" s="127">
        <v>0</v>
      </c>
      <c r="H16" s="289">
        <v>0</v>
      </c>
      <c r="I16" s="289">
        <v>0</v>
      </c>
    </row>
    <row r="17" spans="1:9" ht="16" outlineLevel="2">
      <c r="A17" s="713"/>
      <c r="B17" s="714"/>
      <c r="C17" s="714"/>
      <c r="D17" s="68" t="s">
        <v>27</v>
      </c>
      <c r="E17" s="65">
        <f t="shared" si="2"/>
        <v>0</v>
      </c>
      <c r="F17" s="126">
        <v>0</v>
      </c>
      <c r="G17" s="127">
        <v>0</v>
      </c>
      <c r="H17" s="289">
        <v>0</v>
      </c>
      <c r="I17" s="289">
        <v>0</v>
      </c>
    </row>
    <row r="18" spans="1:9" ht="16" outlineLevel="2">
      <c r="A18" s="713"/>
      <c r="B18" s="714"/>
      <c r="C18" s="714"/>
      <c r="D18" s="68" t="s">
        <v>28</v>
      </c>
      <c r="E18" s="65">
        <f t="shared" si="2"/>
        <v>0</v>
      </c>
      <c r="F18" s="126">
        <v>0</v>
      </c>
      <c r="G18" s="127">
        <v>0</v>
      </c>
      <c r="H18" s="289">
        <v>0</v>
      </c>
      <c r="I18" s="289">
        <v>0</v>
      </c>
    </row>
    <row r="19" spans="1:9" ht="16" outlineLevel="2">
      <c r="A19" s="713"/>
      <c r="B19" s="714"/>
      <c r="C19" s="714"/>
      <c r="D19" s="68" t="s">
        <v>29</v>
      </c>
      <c r="E19" s="65">
        <f t="shared" si="2"/>
        <v>0</v>
      </c>
      <c r="F19" s="126">
        <v>0</v>
      </c>
      <c r="G19" s="127">
        <v>0</v>
      </c>
      <c r="H19" s="289">
        <v>0</v>
      </c>
      <c r="I19" s="289">
        <v>0</v>
      </c>
    </row>
    <row r="20" spans="1:9" ht="16" outlineLevel="2">
      <c r="A20" s="713"/>
      <c r="B20" s="714"/>
      <c r="C20" s="714"/>
      <c r="D20" s="68" t="s">
        <v>30</v>
      </c>
      <c r="E20" s="65">
        <f t="shared" si="2"/>
        <v>0</v>
      </c>
      <c r="F20" s="126">
        <v>0</v>
      </c>
      <c r="G20" s="127">
        <v>0</v>
      </c>
      <c r="H20" s="289">
        <v>0</v>
      </c>
      <c r="I20" s="289">
        <v>0</v>
      </c>
    </row>
    <row r="21" spans="1:9" ht="16" outlineLevel="2">
      <c r="A21" s="713"/>
      <c r="B21" s="714"/>
      <c r="C21" s="714"/>
      <c r="D21" s="68" t="s">
        <v>31</v>
      </c>
      <c r="E21" s="65">
        <f t="shared" si="2"/>
        <v>0</v>
      </c>
      <c r="F21" s="126">
        <v>0</v>
      </c>
      <c r="G21" s="127">
        <v>0</v>
      </c>
      <c r="H21" s="289">
        <v>0</v>
      </c>
      <c r="I21" s="289">
        <v>0</v>
      </c>
    </row>
    <row r="22" spans="1:9" ht="16" outlineLevel="2">
      <c r="A22" s="713"/>
      <c r="B22" s="714"/>
      <c r="C22" s="714"/>
      <c r="D22" s="68" t="s">
        <v>32</v>
      </c>
      <c r="E22" s="65">
        <f t="shared" si="2"/>
        <v>0</v>
      </c>
      <c r="F22" s="126">
        <v>0</v>
      </c>
      <c r="G22" s="127">
        <v>0</v>
      </c>
      <c r="H22" s="289">
        <v>0</v>
      </c>
      <c r="I22" s="289">
        <v>0</v>
      </c>
    </row>
    <row r="23" spans="1:9" ht="16" outlineLevel="2">
      <c r="A23" s="713"/>
      <c r="B23" s="714"/>
      <c r="C23" s="714"/>
      <c r="D23" s="68" t="s">
        <v>33</v>
      </c>
      <c r="E23" s="65">
        <f t="shared" si="2"/>
        <v>0</v>
      </c>
      <c r="F23" s="126">
        <v>0</v>
      </c>
      <c r="G23" s="127">
        <v>0</v>
      </c>
      <c r="H23" s="289">
        <v>0</v>
      </c>
      <c r="I23" s="289">
        <v>0</v>
      </c>
    </row>
    <row r="24" spans="1:9" ht="17" outlineLevel="2" thickBot="1">
      <c r="A24" s="713"/>
      <c r="B24" s="714"/>
      <c r="C24" s="714"/>
      <c r="D24" s="69" t="s">
        <v>34</v>
      </c>
      <c r="E24" s="66">
        <f t="shared" si="2"/>
        <v>0</v>
      </c>
      <c r="F24" s="128">
        <v>0</v>
      </c>
      <c r="G24" s="129">
        <v>0</v>
      </c>
      <c r="H24" s="290">
        <v>0</v>
      </c>
      <c r="I24" s="290">
        <v>0</v>
      </c>
    </row>
    <row r="25" spans="1:9" ht="16" outlineLevel="1" thickBot="1">
      <c r="A25" s="17" t="s">
        <v>109</v>
      </c>
      <c r="B25" s="17"/>
      <c r="C25" s="17"/>
      <c r="D25" s="28"/>
      <c r="E25" s="134">
        <f t="shared" ref="E25:I25" si="3">SUM(E26:E55)</f>
        <v>1630290.9</v>
      </c>
      <c r="F25" s="135">
        <f t="shared" si="3"/>
        <v>234780.7</v>
      </c>
      <c r="G25" s="135">
        <f t="shared" si="3"/>
        <v>342334.3</v>
      </c>
      <c r="H25" s="291">
        <f>SUM(H27:H55)</f>
        <v>515649.4</v>
      </c>
      <c r="I25" s="291">
        <f t="shared" si="3"/>
        <v>263365.2</v>
      </c>
    </row>
    <row r="26" spans="1:9" ht="16" outlineLevel="2">
      <c r="A26" s="713" t="s">
        <v>78</v>
      </c>
      <c r="B26" s="714" t="s">
        <v>75</v>
      </c>
      <c r="C26" s="714">
        <v>711003</v>
      </c>
      <c r="D26" s="67" t="s">
        <v>25</v>
      </c>
      <c r="E26" s="71">
        <f t="shared" ref="E26:E55" si="4">SUM(F26:I26)</f>
        <v>825927.89999999991</v>
      </c>
      <c r="F26" s="120">
        <f>'Rozpočet - vývoj Aplikácií'!AU8-F27</f>
        <v>222736.5</v>
      </c>
      <c r="G26" s="121">
        <f>'Rozpočet - vývoj Aplikácií'!AU14-G27</f>
        <v>329030.09999999998</v>
      </c>
      <c r="H26" s="293">
        <f>SUM('Rozpočet - vývoj Aplikácií'!AS16:AT19)-H27</f>
        <v>274161.3</v>
      </c>
      <c r="I26" s="293">
        <v>0</v>
      </c>
    </row>
    <row r="27" spans="1:9" ht="16" outlineLevel="2">
      <c r="A27" s="713"/>
      <c r="B27" s="714"/>
      <c r="C27" s="714"/>
      <c r="D27" s="68" t="s">
        <v>26</v>
      </c>
      <c r="E27" s="72">
        <f t="shared" si="4"/>
        <v>37669.800000000003</v>
      </c>
      <c r="F27" s="120">
        <f>SUM('Rozpočet - vývoj Aplikácií'!AS8:AT8)*1/3</f>
        <v>8068.2</v>
      </c>
      <c r="G27" s="121">
        <f>SUM('Rozpočet - vývoj Aplikácií'!AS14:AT14)*1/3</f>
        <v>9328.1999999999989</v>
      </c>
      <c r="H27" s="293">
        <f>SUM('Rozpočet - vývoj Aplikácií'!AS19:AT19)*0.5</f>
        <v>20273.400000000001</v>
      </c>
      <c r="I27" s="293">
        <v>0</v>
      </c>
    </row>
    <row r="28" spans="1:9" ht="16" outlineLevel="2">
      <c r="A28" s="713"/>
      <c r="B28" s="714"/>
      <c r="C28" s="714"/>
      <c r="D28" s="68" t="s">
        <v>27</v>
      </c>
      <c r="E28" s="72">
        <f t="shared" si="4"/>
        <v>0</v>
      </c>
      <c r="F28" s="120">
        <v>0</v>
      </c>
      <c r="G28" s="121">
        <v>0</v>
      </c>
      <c r="H28" s="293">
        <v>0</v>
      </c>
      <c r="I28" s="293">
        <v>0</v>
      </c>
    </row>
    <row r="29" spans="1:9" ht="16" outlineLevel="2">
      <c r="A29" s="713"/>
      <c r="B29" s="714"/>
      <c r="C29" s="714"/>
      <c r="D29" s="68" t="s">
        <v>28</v>
      </c>
      <c r="E29" s="72">
        <f t="shared" si="4"/>
        <v>0</v>
      </c>
      <c r="F29" s="120">
        <v>0</v>
      </c>
      <c r="G29" s="121">
        <v>0</v>
      </c>
      <c r="H29" s="293">
        <v>0</v>
      </c>
      <c r="I29" s="293">
        <v>0</v>
      </c>
    </row>
    <row r="30" spans="1:9" ht="16" outlineLevel="2">
      <c r="A30" s="713"/>
      <c r="B30" s="714"/>
      <c r="C30" s="714"/>
      <c r="D30" s="68" t="s">
        <v>29</v>
      </c>
      <c r="E30" s="72">
        <f t="shared" si="4"/>
        <v>0</v>
      </c>
      <c r="F30" s="120">
        <v>0</v>
      </c>
      <c r="G30" s="121">
        <v>0</v>
      </c>
      <c r="H30" s="293">
        <v>0</v>
      </c>
      <c r="I30" s="293">
        <v>0</v>
      </c>
    </row>
    <row r="31" spans="1:9" ht="16" outlineLevel="2">
      <c r="A31" s="713"/>
      <c r="B31" s="714"/>
      <c r="C31" s="714"/>
      <c r="D31" s="68" t="s">
        <v>30</v>
      </c>
      <c r="E31" s="72">
        <f t="shared" si="4"/>
        <v>0</v>
      </c>
      <c r="F31" s="120">
        <v>0</v>
      </c>
      <c r="G31" s="121">
        <v>0</v>
      </c>
      <c r="H31" s="293">
        <v>0</v>
      </c>
      <c r="I31" s="293">
        <v>0</v>
      </c>
    </row>
    <row r="32" spans="1:9" ht="16" outlineLevel="2">
      <c r="A32" s="713"/>
      <c r="B32" s="714"/>
      <c r="C32" s="714"/>
      <c r="D32" s="68" t="s">
        <v>31</v>
      </c>
      <c r="E32" s="72">
        <f t="shared" si="4"/>
        <v>0</v>
      </c>
      <c r="F32" s="120">
        <v>0</v>
      </c>
      <c r="G32" s="121">
        <v>0</v>
      </c>
      <c r="H32" s="293">
        <v>0</v>
      </c>
      <c r="I32" s="293">
        <v>0</v>
      </c>
    </row>
    <row r="33" spans="1:9" ht="16" outlineLevel="2">
      <c r="A33" s="713"/>
      <c r="B33" s="714"/>
      <c r="C33" s="714"/>
      <c r="D33" s="68" t="s">
        <v>32</v>
      </c>
      <c r="E33" s="72">
        <f t="shared" si="4"/>
        <v>0</v>
      </c>
      <c r="F33" s="120">
        <v>0</v>
      </c>
      <c r="G33" s="121">
        <v>0</v>
      </c>
      <c r="H33" s="293">
        <v>0</v>
      </c>
      <c r="I33" s="293">
        <v>0</v>
      </c>
    </row>
    <row r="34" spans="1:9" ht="16" outlineLevel="2">
      <c r="A34" s="713"/>
      <c r="B34" s="714"/>
      <c r="C34" s="714"/>
      <c r="D34" s="68" t="s">
        <v>33</v>
      </c>
      <c r="E34" s="72">
        <f t="shared" si="4"/>
        <v>0</v>
      </c>
      <c r="F34" s="120">
        <v>0</v>
      </c>
      <c r="G34" s="121">
        <v>0</v>
      </c>
      <c r="H34" s="293">
        <v>0</v>
      </c>
      <c r="I34" s="293">
        <v>0</v>
      </c>
    </row>
    <row r="35" spans="1:9" ht="17" outlineLevel="2" thickBot="1">
      <c r="A35" s="713"/>
      <c r="B35" s="714"/>
      <c r="C35" s="714"/>
      <c r="D35" s="69" t="s">
        <v>34</v>
      </c>
      <c r="E35" s="73">
        <f t="shared" si="4"/>
        <v>0</v>
      </c>
      <c r="F35" s="122">
        <v>0</v>
      </c>
      <c r="G35" s="123">
        <v>0</v>
      </c>
      <c r="H35" s="294">
        <v>0</v>
      </c>
      <c r="I35" s="294">
        <v>0</v>
      </c>
    </row>
    <row r="36" spans="1:9" ht="16" outlineLevel="2">
      <c r="A36" s="713" t="s">
        <v>78</v>
      </c>
      <c r="B36" s="714" t="s">
        <v>80</v>
      </c>
      <c r="C36" s="714">
        <v>633013</v>
      </c>
      <c r="D36" s="67" t="s">
        <v>25</v>
      </c>
      <c r="E36" s="72">
        <f t="shared" si="4"/>
        <v>156597</v>
      </c>
      <c r="F36" s="118">
        <v>0</v>
      </c>
      <c r="G36" s="119">
        <v>0</v>
      </c>
      <c r="H36" s="292">
        <v>0</v>
      </c>
      <c r="I36" s="292">
        <f>SUM('Rozpočet - vývoj Aplikácií'!AS23:AT23)+SUM('Rozpočet - vývoj Aplikácií'!AS24:AT24)*3/5</f>
        <v>156597</v>
      </c>
    </row>
    <row r="37" spans="1:9" ht="16" outlineLevel="2">
      <c r="A37" s="713"/>
      <c r="B37" s="714"/>
      <c r="C37" s="714"/>
      <c r="D37" s="68" t="s">
        <v>26</v>
      </c>
      <c r="E37" s="72">
        <f t="shared" si="4"/>
        <v>205048.2</v>
      </c>
      <c r="F37" s="120">
        <v>0</v>
      </c>
      <c r="G37" s="121">
        <v>0</v>
      </c>
      <c r="H37" s="293">
        <f>SUM('Rozpočet - vývoj Aplikácií'!$AS$20:$AT$21)*3/15</f>
        <v>98280</v>
      </c>
      <c r="I37" s="293">
        <f>SUM('Rozpočet - vývoj Aplikácií'!AS25:AT26)+SUM('Rozpočet - vývoj Aplikácií'!AS24:AT24)*2/5</f>
        <v>106768.20000000001</v>
      </c>
    </row>
    <row r="38" spans="1:9" ht="16" outlineLevel="2">
      <c r="A38" s="713"/>
      <c r="B38" s="714"/>
      <c r="C38" s="714"/>
      <c r="D38" s="68" t="s">
        <v>27</v>
      </c>
      <c r="E38" s="72">
        <f t="shared" si="4"/>
        <v>393120</v>
      </c>
      <c r="F38" s="120">
        <v>0</v>
      </c>
      <c r="G38" s="121">
        <v>0</v>
      </c>
      <c r="H38" s="293">
        <f>SUM('Rozpočet - vývoj Aplikácií'!$AS$20:$AT$21)*12/15</f>
        <v>393120</v>
      </c>
      <c r="I38" s="293">
        <v>0</v>
      </c>
    </row>
    <row r="39" spans="1:9" ht="16" outlineLevel="2">
      <c r="A39" s="713"/>
      <c r="B39" s="714"/>
      <c r="C39" s="714"/>
      <c r="D39" s="68" t="s">
        <v>28</v>
      </c>
      <c r="E39" s="72">
        <f t="shared" si="4"/>
        <v>0</v>
      </c>
      <c r="F39" s="120">
        <v>0</v>
      </c>
      <c r="G39" s="121">
        <v>0</v>
      </c>
      <c r="H39" s="293">
        <v>0</v>
      </c>
      <c r="I39" s="293">
        <v>0</v>
      </c>
    </row>
    <row r="40" spans="1:9" ht="16" outlineLevel="2">
      <c r="A40" s="713"/>
      <c r="B40" s="714"/>
      <c r="C40" s="714"/>
      <c r="D40" s="68" t="s">
        <v>29</v>
      </c>
      <c r="E40" s="72">
        <f t="shared" si="4"/>
        <v>0</v>
      </c>
      <c r="F40" s="120">
        <v>0</v>
      </c>
      <c r="G40" s="121">
        <v>0</v>
      </c>
      <c r="H40" s="293">
        <v>0</v>
      </c>
      <c r="I40" s="293">
        <v>0</v>
      </c>
    </row>
    <row r="41" spans="1:9" ht="16" outlineLevel="2">
      <c r="A41" s="713"/>
      <c r="B41" s="714"/>
      <c r="C41" s="714"/>
      <c r="D41" s="68" t="s">
        <v>30</v>
      </c>
      <c r="E41" s="72">
        <f t="shared" si="4"/>
        <v>0</v>
      </c>
      <c r="F41" s="120">
        <v>0</v>
      </c>
      <c r="G41" s="121">
        <v>0</v>
      </c>
      <c r="H41" s="293">
        <v>0</v>
      </c>
      <c r="I41" s="293">
        <v>0</v>
      </c>
    </row>
    <row r="42" spans="1:9" ht="16" outlineLevel="2">
      <c r="A42" s="713"/>
      <c r="B42" s="714"/>
      <c r="C42" s="714"/>
      <c r="D42" s="68" t="s">
        <v>31</v>
      </c>
      <c r="E42" s="72">
        <f t="shared" si="4"/>
        <v>0</v>
      </c>
      <c r="F42" s="120">
        <v>0</v>
      </c>
      <c r="G42" s="121">
        <v>0</v>
      </c>
      <c r="H42" s="293">
        <v>0</v>
      </c>
      <c r="I42" s="293">
        <v>0</v>
      </c>
    </row>
    <row r="43" spans="1:9" ht="16" outlineLevel="2">
      <c r="A43" s="713"/>
      <c r="B43" s="714"/>
      <c r="C43" s="714"/>
      <c r="D43" s="68" t="s">
        <v>32</v>
      </c>
      <c r="E43" s="72">
        <f t="shared" si="4"/>
        <v>0</v>
      </c>
      <c r="F43" s="120">
        <v>0</v>
      </c>
      <c r="G43" s="121">
        <v>0</v>
      </c>
      <c r="H43" s="293">
        <v>0</v>
      </c>
      <c r="I43" s="293">
        <v>0</v>
      </c>
    </row>
    <row r="44" spans="1:9" ht="16" outlineLevel="2">
      <c r="A44" s="713"/>
      <c r="B44" s="714"/>
      <c r="C44" s="714"/>
      <c r="D44" s="68" t="s">
        <v>33</v>
      </c>
      <c r="E44" s="72">
        <f t="shared" si="4"/>
        <v>0</v>
      </c>
      <c r="F44" s="120">
        <v>0</v>
      </c>
      <c r="G44" s="121">
        <v>0</v>
      </c>
      <c r="H44" s="293">
        <v>0</v>
      </c>
      <c r="I44" s="293">
        <v>0</v>
      </c>
    </row>
    <row r="45" spans="1:9" ht="17" outlineLevel="2" thickBot="1">
      <c r="A45" s="713"/>
      <c r="B45" s="714"/>
      <c r="C45" s="714"/>
      <c r="D45" s="69" t="s">
        <v>34</v>
      </c>
      <c r="E45" s="73">
        <f t="shared" si="4"/>
        <v>0</v>
      </c>
      <c r="F45" s="122">
        <v>0</v>
      </c>
      <c r="G45" s="123">
        <v>0</v>
      </c>
      <c r="H45" s="294">
        <v>0</v>
      </c>
      <c r="I45" s="294">
        <v>0</v>
      </c>
    </row>
    <row r="46" spans="1:9" ht="16" outlineLevel="2">
      <c r="A46" s="713" t="s">
        <v>79</v>
      </c>
      <c r="B46" s="714" t="s">
        <v>80</v>
      </c>
      <c r="C46" s="714">
        <v>637001</v>
      </c>
      <c r="D46" s="67" t="s">
        <v>25</v>
      </c>
      <c r="E46" s="72">
        <f t="shared" si="4"/>
        <v>0</v>
      </c>
      <c r="F46" s="118">
        <v>0</v>
      </c>
      <c r="G46" s="121">
        <v>0</v>
      </c>
      <c r="H46" s="293">
        <v>0</v>
      </c>
      <c r="I46" s="293">
        <v>0</v>
      </c>
    </row>
    <row r="47" spans="1:9" ht="16" outlineLevel="2">
      <c r="A47" s="713"/>
      <c r="B47" s="714"/>
      <c r="C47" s="714"/>
      <c r="D47" s="68" t="s">
        <v>26</v>
      </c>
      <c r="E47" s="72">
        <f t="shared" si="4"/>
        <v>11928</v>
      </c>
      <c r="F47" s="120">
        <f>'Rozpočet - vývoj Aplikácií'!$AT$27/3</f>
        <v>3976</v>
      </c>
      <c r="G47" s="120">
        <f>'Rozpočet - vývoj Aplikácií'!$AT$27/3</f>
        <v>3976</v>
      </c>
      <c r="H47" s="120">
        <f>'Rozpočet - vývoj Aplikácií'!$AT$27/3</f>
        <v>3976</v>
      </c>
      <c r="I47" s="293">
        <v>0</v>
      </c>
    </row>
    <row r="48" spans="1:9" ht="16" outlineLevel="2">
      <c r="A48" s="713"/>
      <c r="B48" s="714"/>
      <c r="C48" s="714"/>
      <c r="D48" s="68" t="s">
        <v>27</v>
      </c>
      <c r="E48" s="72">
        <f t="shared" si="4"/>
        <v>0</v>
      </c>
      <c r="F48" s="120">
        <v>0</v>
      </c>
      <c r="G48" s="121">
        <v>0</v>
      </c>
      <c r="H48" s="293">
        <v>0</v>
      </c>
      <c r="I48" s="293">
        <v>0</v>
      </c>
    </row>
    <row r="49" spans="1:9" ht="16" outlineLevel="2">
      <c r="A49" s="713"/>
      <c r="B49" s="714"/>
      <c r="C49" s="714"/>
      <c r="D49" s="68" t="s">
        <v>28</v>
      </c>
      <c r="E49" s="72">
        <f t="shared" si="4"/>
        <v>0</v>
      </c>
      <c r="F49" s="120">
        <v>0</v>
      </c>
      <c r="G49" s="121">
        <v>0</v>
      </c>
      <c r="H49" s="293">
        <v>0</v>
      </c>
      <c r="I49" s="293">
        <v>0</v>
      </c>
    </row>
    <row r="50" spans="1:9" ht="16" outlineLevel="2">
      <c r="A50" s="713"/>
      <c r="B50" s="714"/>
      <c r="C50" s="714"/>
      <c r="D50" s="68" t="s">
        <v>29</v>
      </c>
      <c r="E50" s="72">
        <f t="shared" si="4"/>
        <v>0</v>
      </c>
      <c r="F50" s="120">
        <v>0</v>
      </c>
      <c r="G50" s="121">
        <v>0</v>
      </c>
      <c r="H50" s="293">
        <v>0</v>
      </c>
      <c r="I50" s="293">
        <v>0</v>
      </c>
    </row>
    <row r="51" spans="1:9" ht="16" outlineLevel="2">
      <c r="A51" s="713"/>
      <c r="B51" s="714"/>
      <c r="C51" s="714"/>
      <c r="D51" s="68" t="s">
        <v>30</v>
      </c>
      <c r="E51" s="72">
        <f t="shared" si="4"/>
        <v>0</v>
      </c>
      <c r="F51" s="120">
        <v>0</v>
      </c>
      <c r="G51" s="121">
        <v>0</v>
      </c>
      <c r="H51" s="293">
        <v>0</v>
      </c>
      <c r="I51" s="293">
        <v>0</v>
      </c>
    </row>
    <row r="52" spans="1:9" ht="16" outlineLevel="2">
      <c r="A52" s="713"/>
      <c r="B52" s="714"/>
      <c r="C52" s="714"/>
      <c r="D52" s="68" t="s">
        <v>31</v>
      </c>
      <c r="E52" s="72">
        <f t="shared" si="4"/>
        <v>0</v>
      </c>
      <c r="F52" s="120">
        <v>0</v>
      </c>
      <c r="G52" s="121">
        <v>0</v>
      </c>
      <c r="H52" s="293">
        <v>0</v>
      </c>
      <c r="I52" s="293">
        <v>0</v>
      </c>
    </row>
    <row r="53" spans="1:9" ht="16" outlineLevel="2">
      <c r="A53" s="713"/>
      <c r="B53" s="714"/>
      <c r="C53" s="714"/>
      <c r="D53" s="68" t="s">
        <v>32</v>
      </c>
      <c r="E53" s="72">
        <f t="shared" si="4"/>
        <v>0</v>
      </c>
      <c r="F53" s="120">
        <v>0</v>
      </c>
      <c r="G53" s="121">
        <v>0</v>
      </c>
      <c r="H53" s="293">
        <v>0</v>
      </c>
      <c r="I53" s="293">
        <v>0</v>
      </c>
    </row>
    <row r="54" spans="1:9" ht="16" outlineLevel="2">
      <c r="A54" s="713"/>
      <c r="B54" s="714"/>
      <c r="C54" s="714"/>
      <c r="D54" s="68" t="s">
        <v>33</v>
      </c>
      <c r="E54" s="72">
        <f t="shared" si="4"/>
        <v>0</v>
      </c>
      <c r="F54" s="120">
        <v>0</v>
      </c>
      <c r="G54" s="121">
        <v>0</v>
      </c>
      <c r="H54" s="293">
        <v>0</v>
      </c>
      <c r="I54" s="293">
        <v>0</v>
      </c>
    </row>
    <row r="55" spans="1:9" ht="17" outlineLevel="2" thickBot="1">
      <c r="A55" s="713"/>
      <c r="B55" s="714"/>
      <c r="C55" s="714"/>
      <c r="D55" s="68" t="s">
        <v>34</v>
      </c>
      <c r="E55" s="73">
        <f t="shared" si="4"/>
        <v>0</v>
      </c>
      <c r="F55" s="122">
        <v>0</v>
      </c>
      <c r="G55" s="123">
        <v>0</v>
      </c>
      <c r="H55" s="294">
        <v>0</v>
      </c>
      <c r="I55" s="294">
        <v>0</v>
      </c>
    </row>
    <row r="56" spans="1:9" ht="16" thickBot="1">
      <c r="A56" s="711" t="s">
        <v>81</v>
      </c>
      <c r="B56" s="712"/>
      <c r="C56" s="712"/>
      <c r="D56" s="80"/>
      <c r="E56" s="77">
        <f t="shared" ref="E56:I56" si="5">E57+E78</f>
        <v>999291.19500000007</v>
      </c>
      <c r="F56" s="78">
        <f t="shared" si="5"/>
        <v>313125.64500000002</v>
      </c>
      <c r="G56" s="78">
        <f t="shared" si="5"/>
        <v>350769.40500000003</v>
      </c>
      <c r="H56" s="287">
        <f t="shared" si="5"/>
        <v>335396.14500000002</v>
      </c>
      <c r="I56" s="287">
        <f t="shared" si="5"/>
        <v>0</v>
      </c>
    </row>
    <row r="57" spans="1:9" ht="16" outlineLevel="1" thickBot="1">
      <c r="A57" s="17" t="s">
        <v>108</v>
      </c>
      <c r="B57" s="17"/>
      <c r="C57" s="17"/>
      <c r="D57" s="28"/>
      <c r="E57" s="130">
        <f t="shared" ref="E57:I57" si="6">SUM(E58:E77)</f>
        <v>697032</v>
      </c>
      <c r="F57" s="131">
        <f t="shared" si="6"/>
        <v>232344</v>
      </c>
      <c r="G57" s="131">
        <f t="shared" si="6"/>
        <v>232344</v>
      </c>
      <c r="H57" s="295">
        <f t="shared" si="6"/>
        <v>232344</v>
      </c>
      <c r="I57" s="295">
        <f t="shared" si="6"/>
        <v>0</v>
      </c>
    </row>
    <row r="58" spans="1:9" ht="16" outlineLevel="2">
      <c r="A58" s="713" t="s">
        <v>82</v>
      </c>
      <c r="B58" s="714" t="s">
        <v>83</v>
      </c>
      <c r="C58" s="714">
        <v>635009</v>
      </c>
      <c r="D58" s="67" t="s">
        <v>25</v>
      </c>
      <c r="E58" s="64">
        <f t="shared" ref="E58:E77" si="7">SUM(F58:I58)</f>
        <v>0</v>
      </c>
      <c r="F58" s="124">
        <v>0</v>
      </c>
      <c r="G58" s="125">
        <v>0</v>
      </c>
      <c r="H58" s="288">
        <v>0</v>
      </c>
      <c r="I58" s="288">
        <v>0</v>
      </c>
    </row>
    <row r="59" spans="1:9" ht="16" outlineLevel="2">
      <c r="A59" s="713"/>
      <c r="B59" s="714"/>
      <c r="C59" s="714"/>
      <c r="D59" s="68" t="s">
        <v>26</v>
      </c>
      <c r="E59" s="65">
        <f t="shared" si="7"/>
        <v>0</v>
      </c>
      <c r="F59" s="126">
        <v>0</v>
      </c>
      <c r="G59" s="126">
        <v>0</v>
      </c>
      <c r="H59" s="126">
        <v>0</v>
      </c>
      <c r="I59" s="126">
        <v>0</v>
      </c>
    </row>
    <row r="60" spans="1:9" ht="16" outlineLevel="2">
      <c r="A60" s="713"/>
      <c r="B60" s="714"/>
      <c r="C60" s="714"/>
      <c r="D60" s="68" t="s">
        <v>27</v>
      </c>
      <c r="E60" s="65">
        <f t="shared" si="7"/>
        <v>0</v>
      </c>
      <c r="F60" s="126">
        <v>0</v>
      </c>
      <c r="G60" s="126">
        <v>0</v>
      </c>
      <c r="H60" s="126">
        <v>0</v>
      </c>
      <c r="I60" s="126">
        <v>0</v>
      </c>
    </row>
    <row r="61" spans="1:9" ht="16" outlineLevel="2">
      <c r="A61" s="713"/>
      <c r="B61" s="714"/>
      <c r="C61" s="714"/>
      <c r="D61" s="68" t="s">
        <v>28</v>
      </c>
      <c r="E61" s="65">
        <f t="shared" si="7"/>
        <v>99576</v>
      </c>
      <c r="F61" s="126">
        <f>('Rozpočet - HW a licencie'!$E$8*12)/3</f>
        <v>33192</v>
      </c>
      <c r="G61" s="126">
        <f>('Rozpočet - HW a licencie'!$E$8*12)/3</f>
        <v>33192</v>
      </c>
      <c r="H61" s="126">
        <f>('Rozpočet - HW a licencie'!$E$8*12)/3</f>
        <v>33192</v>
      </c>
      <c r="I61" s="126">
        <v>0</v>
      </c>
    </row>
    <row r="62" spans="1:9" ht="16" outlineLevel="2">
      <c r="A62" s="713"/>
      <c r="B62" s="714"/>
      <c r="C62" s="714"/>
      <c r="D62" s="68" t="s">
        <v>29</v>
      </c>
      <c r="E62" s="65">
        <f t="shared" si="7"/>
        <v>99576</v>
      </c>
      <c r="F62" s="126">
        <f>('Rozpočet - HW a licencie'!$E$8*12)/3</f>
        <v>33192</v>
      </c>
      <c r="G62" s="126">
        <f>('Rozpočet - HW a licencie'!$E$8*12)/3</f>
        <v>33192</v>
      </c>
      <c r="H62" s="126">
        <f>('Rozpočet - HW a licencie'!$E$8*12)/3</f>
        <v>33192</v>
      </c>
      <c r="I62" s="126">
        <v>0</v>
      </c>
    </row>
    <row r="63" spans="1:9" ht="16" outlineLevel="2">
      <c r="A63" s="713"/>
      <c r="B63" s="714"/>
      <c r="C63" s="714"/>
      <c r="D63" s="68" t="s">
        <v>30</v>
      </c>
      <c r="E63" s="65">
        <f t="shared" si="7"/>
        <v>99576</v>
      </c>
      <c r="F63" s="126">
        <f>('Rozpočet - HW a licencie'!$E$8*12)/3</f>
        <v>33192</v>
      </c>
      <c r="G63" s="126">
        <f>('Rozpočet - HW a licencie'!$E$8*12)/3</f>
        <v>33192</v>
      </c>
      <c r="H63" s="126">
        <f>('Rozpočet - HW a licencie'!$E$8*12)/3</f>
        <v>33192</v>
      </c>
      <c r="I63" s="126">
        <v>0</v>
      </c>
    </row>
    <row r="64" spans="1:9" ht="16" outlineLevel="2">
      <c r="A64" s="713"/>
      <c r="B64" s="714"/>
      <c r="C64" s="714"/>
      <c r="D64" s="68" t="s">
        <v>31</v>
      </c>
      <c r="E64" s="65">
        <f t="shared" si="7"/>
        <v>99576</v>
      </c>
      <c r="F64" s="126">
        <f>('Rozpočet - HW a licencie'!$E$8*12)/3</f>
        <v>33192</v>
      </c>
      <c r="G64" s="126">
        <f>('Rozpočet - HW a licencie'!$E$8*12)/3</f>
        <v>33192</v>
      </c>
      <c r="H64" s="126">
        <f>('Rozpočet - HW a licencie'!$E$8*12)/3</f>
        <v>33192</v>
      </c>
      <c r="I64" s="126">
        <v>0</v>
      </c>
    </row>
    <row r="65" spans="1:9" ht="16" outlineLevel="2">
      <c r="A65" s="713"/>
      <c r="B65" s="714"/>
      <c r="C65" s="714"/>
      <c r="D65" s="68" t="s">
        <v>32</v>
      </c>
      <c r="E65" s="65">
        <f t="shared" si="7"/>
        <v>99576</v>
      </c>
      <c r="F65" s="126">
        <f>('Rozpočet - HW a licencie'!$E$8*12)/3</f>
        <v>33192</v>
      </c>
      <c r="G65" s="126">
        <f>('Rozpočet - HW a licencie'!$E$8*12)/3</f>
        <v>33192</v>
      </c>
      <c r="H65" s="126">
        <f>('Rozpočet - HW a licencie'!$E$8*12)/3</f>
        <v>33192</v>
      </c>
      <c r="I65" s="126">
        <v>0</v>
      </c>
    </row>
    <row r="66" spans="1:9" ht="16" outlineLevel="2">
      <c r="A66" s="713"/>
      <c r="B66" s="714"/>
      <c r="C66" s="714"/>
      <c r="D66" s="68" t="s">
        <v>33</v>
      </c>
      <c r="E66" s="65">
        <f t="shared" si="7"/>
        <v>99576</v>
      </c>
      <c r="F66" s="126">
        <f>('Rozpočet - HW a licencie'!$E$8*12)/3</f>
        <v>33192</v>
      </c>
      <c r="G66" s="126">
        <f>('Rozpočet - HW a licencie'!$E$8*12)/3</f>
        <v>33192</v>
      </c>
      <c r="H66" s="126">
        <f>('Rozpočet - HW a licencie'!$E$8*12)/3</f>
        <v>33192</v>
      </c>
      <c r="I66" s="126">
        <v>0</v>
      </c>
    </row>
    <row r="67" spans="1:9" ht="17" outlineLevel="2" thickBot="1">
      <c r="A67" s="713"/>
      <c r="B67" s="714"/>
      <c r="C67" s="714"/>
      <c r="D67" s="69" t="s">
        <v>34</v>
      </c>
      <c r="E67" s="66">
        <f t="shared" si="7"/>
        <v>99576</v>
      </c>
      <c r="F67" s="126">
        <f>('Rozpočet - HW a licencie'!$E$8*12)/3</f>
        <v>33192</v>
      </c>
      <c r="G67" s="126">
        <f>('Rozpočet - HW a licencie'!$E$8*12)/3</f>
        <v>33192</v>
      </c>
      <c r="H67" s="126">
        <f>('Rozpočet - HW a licencie'!$E$8*12)/3</f>
        <v>33192</v>
      </c>
      <c r="I67" s="126">
        <v>0</v>
      </c>
    </row>
    <row r="68" spans="1:9" ht="16" outlineLevel="2">
      <c r="A68" s="713" t="s">
        <v>84</v>
      </c>
      <c r="B68" s="714" t="s">
        <v>75</v>
      </c>
      <c r="C68" s="714">
        <v>718006</v>
      </c>
      <c r="D68" s="67" t="s">
        <v>25</v>
      </c>
      <c r="E68" s="65">
        <f t="shared" si="7"/>
        <v>0</v>
      </c>
      <c r="F68" s="124">
        <v>0</v>
      </c>
      <c r="G68" s="125">
        <v>0</v>
      </c>
      <c r="H68" s="288">
        <v>0</v>
      </c>
      <c r="I68" s="288">
        <v>0</v>
      </c>
    </row>
    <row r="69" spans="1:9" ht="16" outlineLevel="2">
      <c r="A69" s="713"/>
      <c r="B69" s="714"/>
      <c r="C69" s="714"/>
      <c r="D69" s="68" t="s">
        <v>26</v>
      </c>
      <c r="E69" s="65">
        <f t="shared" si="7"/>
        <v>0</v>
      </c>
      <c r="F69" s="126">
        <v>0</v>
      </c>
      <c r="G69" s="127">
        <v>0</v>
      </c>
      <c r="H69" s="289">
        <v>0</v>
      </c>
      <c r="I69" s="289">
        <v>0</v>
      </c>
    </row>
    <row r="70" spans="1:9" ht="16" outlineLevel="2">
      <c r="A70" s="713"/>
      <c r="B70" s="714"/>
      <c r="C70" s="714"/>
      <c r="D70" s="68" t="s">
        <v>27</v>
      </c>
      <c r="E70" s="65">
        <f t="shared" si="7"/>
        <v>0</v>
      </c>
      <c r="F70" s="126">
        <v>0</v>
      </c>
      <c r="G70" s="127">
        <v>0</v>
      </c>
      <c r="H70" s="289">
        <v>0</v>
      </c>
      <c r="I70" s="289">
        <v>0</v>
      </c>
    </row>
    <row r="71" spans="1:9" ht="16" outlineLevel="2">
      <c r="A71" s="713"/>
      <c r="B71" s="714"/>
      <c r="C71" s="714"/>
      <c r="D71" s="68" t="s">
        <v>28</v>
      </c>
      <c r="E71" s="65">
        <f t="shared" si="7"/>
        <v>0</v>
      </c>
      <c r="F71" s="126">
        <v>0</v>
      </c>
      <c r="G71" s="127">
        <v>0</v>
      </c>
      <c r="H71" s="289">
        <v>0</v>
      </c>
      <c r="I71" s="289">
        <v>0</v>
      </c>
    </row>
    <row r="72" spans="1:9" ht="16" outlineLevel="2">
      <c r="A72" s="713"/>
      <c r="B72" s="714"/>
      <c r="C72" s="714"/>
      <c r="D72" s="68" t="s">
        <v>29</v>
      </c>
      <c r="E72" s="65">
        <f t="shared" si="7"/>
        <v>0</v>
      </c>
      <c r="F72" s="126">
        <v>0</v>
      </c>
      <c r="G72" s="127">
        <v>0</v>
      </c>
      <c r="H72" s="289">
        <v>0</v>
      </c>
      <c r="I72" s="289">
        <v>0</v>
      </c>
    </row>
    <row r="73" spans="1:9" ht="16" outlineLevel="2">
      <c r="A73" s="713"/>
      <c r="B73" s="714"/>
      <c r="C73" s="714"/>
      <c r="D73" s="68" t="s">
        <v>30</v>
      </c>
      <c r="E73" s="65">
        <f t="shared" si="7"/>
        <v>0</v>
      </c>
      <c r="F73" s="126">
        <v>0</v>
      </c>
      <c r="G73" s="127">
        <v>0</v>
      </c>
      <c r="H73" s="289">
        <v>0</v>
      </c>
      <c r="I73" s="289">
        <v>0</v>
      </c>
    </row>
    <row r="74" spans="1:9" ht="16" outlineLevel="2">
      <c r="A74" s="713"/>
      <c r="B74" s="714"/>
      <c r="C74" s="714"/>
      <c r="D74" s="68" t="s">
        <v>31</v>
      </c>
      <c r="E74" s="65">
        <f t="shared" si="7"/>
        <v>0</v>
      </c>
      <c r="F74" s="126">
        <v>0</v>
      </c>
      <c r="G74" s="127">
        <v>0</v>
      </c>
      <c r="H74" s="289">
        <v>0</v>
      </c>
      <c r="I74" s="289">
        <v>0</v>
      </c>
    </row>
    <row r="75" spans="1:9" ht="16" outlineLevel="2">
      <c r="A75" s="713"/>
      <c r="B75" s="714"/>
      <c r="C75" s="714"/>
      <c r="D75" s="68" t="s">
        <v>32</v>
      </c>
      <c r="E75" s="65">
        <f t="shared" si="7"/>
        <v>0</v>
      </c>
      <c r="F75" s="126">
        <v>0</v>
      </c>
      <c r="G75" s="127">
        <v>0</v>
      </c>
      <c r="H75" s="289">
        <v>0</v>
      </c>
      <c r="I75" s="289">
        <v>0</v>
      </c>
    </row>
    <row r="76" spans="1:9" ht="16" outlineLevel="2">
      <c r="A76" s="713"/>
      <c r="B76" s="714"/>
      <c r="C76" s="714"/>
      <c r="D76" s="68" t="s">
        <v>33</v>
      </c>
      <c r="E76" s="65">
        <f t="shared" si="7"/>
        <v>0</v>
      </c>
      <c r="F76" s="126">
        <v>0</v>
      </c>
      <c r="G76" s="127">
        <v>0</v>
      </c>
      <c r="H76" s="289">
        <v>0</v>
      </c>
      <c r="I76" s="289">
        <v>0</v>
      </c>
    </row>
    <row r="77" spans="1:9" ht="17" outlineLevel="2" thickBot="1">
      <c r="A77" s="713"/>
      <c r="B77" s="714"/>
      <c r="C77" s="714"/>
      <c r="D77" s="69" t="s">
        <v>34</v>
      </c>
      <c r="E77" s="66">
        <f t="shared" si="7"/>
        <v>0</v>
      </c>
      <c r="F77" s="128">
        <v>0</v>
      </c>
      <c r="G77" s="129">
        <v>0</v>
      </c>
      <c r="H77" s="290">
        <v>0</v>
      </c>
      <c r="I77" s="290">
        <v>0</v>
      </c>
    </row>
    <row r="78" spans="1:9" ht="16" outlineLevel="1" thickBot="1">
      <c r="A78" s="17" t="s">
        <v>109</v>
      </c>
      <c r="B78" s="17"/>
      <c r="C78" s="17"/>
      <c r="D78" s="28"/>
      <c r="E78" s="132">
        <f t="shared" ref="E78:I78" si="8">SUM(E79:E128)</f>
        <v>302259.19500000001</v>
      </c>
      <c r="F78" s="133">
        <f t="shared" si="8"/>
        <v>80781.645000000004</v>
      </c>
      <c r="G78" s="133">
        <f t="shared" si="8"/>
        <v>118425.40500000003</v>
      </c>
      <c r="H78" s="296">
        <f t="shared" si="8"/>
        <v>103052.145</v>
      </c>
      <c r="I78" s="296">
        <f t="shared" si="8"/>
        <v>0</v>
      </c>
    </row>
    <row r="79" spans="1:9" ht="16" outlineLevel="2">
      <c r="A79" s="713" t="s">
        <v>85</v>
      </c>
      <c r="B79" s="714" t="s">
        <v>83</v>
      </c>
      <c r="C79" s="714">
        <v>635009</v>
      </c>
      <c r="D79" s="67" t="s">
        <v>25</v>
      </c>
      <c r="E79" s="71">
        <f t="shared" ref="E79:E110" si="9">SUM(F79:I79)</f>
        <v>0</v>
      </c>
      <c r="F79" s="118">
        <v>0</v>
      </c>
      <c r="G79" s="119">
        <v>0</v>
      </c>
      <c r="H79" s="292">
        <v>0</v>
      </c>
      <c r="I79" s="292">
        <v>0</v>
      </c>
    </row>
    <row r="80" spans="1:9" ht="16" outlineLevel="2">
      <c r="A80" s="713"/>
      <c r="B80" s="714"/>
      <c r="C80" s="714"/>
      <c r="D80" s="68" t="s">
        <v>26</v>
      </c>
      <c r="E80" s="72">
        <f t="shared" si="9"/>
        <v>0</v>
      </c>
      <c r="F80" s="126">
        <v>0</v>
      </c>
      <c r="G80" s="126">
        <v>0</v>
      </c>
      <c r="H80" s="126">
        <v>0</v>
      </c>
      <c r="I80" s="126">
        <v>0</v>
      </c>
    </row>
    <row r="81" spans="1:9" ht="16" outlineLevel="2">
      <c r="A81" s="713"/>
      <c r="B81" s="714"/>
      <c r="C81" s="714"/>
      <c r="D81" s="68" t="s">
        <v>27</v>
      </c>
      <c r="E81" s="72">
        <f t="shared" si="9"/>
        <v>0</v>
      </c>
      <c r="F81" s="126">
        <v>0</v>
      </c>
      <c r="G81" s="126">
        <v>0</v>
      </c>
      <c r="H81" s="126">
        <v>0</v>
      </c>
      <c r="I81" s="126">
        <v>0</v>
      </c>
    </row>
    <row r="82" spans="1:9" ht="16" outlineLevel="2">
      <c r="A82" s="713"/>
      <c r="B82" s="714"/>
      <c r="C82" s="714"/>
      <c r="D82" s="68" t="s">
        <v>28</v>
      </c>
      <c r="E82" s="72">
        <f t="shared" si="9"/>
        <v>43179.885000000002</v>
      </c>
      <c r="F82" s="126">
        <f>0.05*SUM($F$26:$F$27)</f>
        <v>11540.235000000001</v>
      </c>
      <c r="G82" s="126">
        <f>0.05*SUM($G$26:$G$27)</f>
        <v>16917.915000000001</v>
      </c>
      <c r="H82" s="126">
        <f>0.05*SUM($H$26:$H$27)</f>
        <v>14721.735000000001</v>
      </c>
      <c r="I82" s="126">
        <v>0</v>
      </c>
    </row>
    <row r="83" spans="1:9" ht="16" outlineLevel="2">
      <c r="A83" s="713"/>
      <c r="B83" s="714"/>
      <c r="C83" s="714"/>
      <c r="D83" s="68" t="s">
        <v>29</v>
      </c>
      <c r="E83" s="72">
        <f t="shared" si="9"/>
        <v>43179.885000000002</v>
      </c>
      <c r="F83" s="126">
        <f t="shared" ref="F83:F88" si="10">0.05*SUM($F$26:$F$27)</f>
        <v>11540.235000000001</v>
      </c>
      <c r="G83" s="126">
        <f t="shared" ref="G83:G88" si="11">0.05*SUM($G$26:$G$27)</f>
        <v>16917.915000000001</v>
      </c>
      <c r="H83" s="126">
        <f t="shared" ref="H83:H88" si="12">0.05*SUM($H$26:$H$27)</f>
        <v>14721.735000000001</v>
      </c>
      <c r="I83" s="126">
        <v>0</v>
      </c>
    </row>
    <row r="84" spans="1:9" ht="16" outlineLevel="2">
      <c r="A84" s="713"/>
      <c r="B84" s="714"/>
      <c r="C84" s="714"/>
      <c r="D84" s="68" t="s">
        <v>30</v>
      </c>
      <c r="E84" s="72">
        <f t="shared" si="9"/>
        <v>43179.885000000002</v>
      </c>
      <c r="F84" s="126">
        <f t="shared" si="10"/>
        <v>11540.235000000001</v>
      </c>
      <c r="G84" s="126">
        <f t="shared" si="11"/>
        <v>16917.915000000001</v>
      </c>
      <c r="H84" s="126">
        <f t="shared" si="12"/>
        <v>14721.735000000001</v>
      </c>
      <c r="I84" s="126">
        <v>0</v>
      </c>
    </row>
    <row r="85" spans="1:9" ht="16" outlineLevel="2">
      <c r="A85" s="713"/>
      <c r="B85" s="714"/>
      <c r="C85" s="714"/>
      <c r="D85" s="68" t="s">
        <v>31</v>
      </c>
      <c r="E85" s="72">
        <f t="shared" si="9"/>
        <v>43179.885000000002</v>
      </c>
      <c r="F85" s="126">
        <f t="shared" si="10"/>
        <v>11540.235000000001</v>
      </c>
      <c r="G85" s="126">
        <f t="shared" si="11"/>
        <v>16917.915000000001</v>
      </c>
      <c r="H85" s="126">
        <f t="shared" si="12"/>
        <v>14721.735000000001</v>
      </c>
      <c r="I85" s="126">
        <v>0</v>
      </c>
    </row>
    <row r="86" spans="1:9" ht="16" outlineLevel="2">
      <c r="A86" s="713"/>
      <c r="B86" s="714"/>
      <c r="C86" s="714"/>
      <c r="D86" s="68" t="s">
        <v>32</v>
      </c>
      <c r="E86" s="72">
        <f t="shared" si="9"/>
        <v>43179.885000000002</v>
      </c>
      <c r="F86" s="126">
        <f t="shared" si="10"/>
        <v>11540.235000000001</v>
      </c>
      <c r="G86" s="126">
        <f t="shared" si="11"/>
        <v>16917.915000000001</v>
      </c>
      <c r="H86" s="126">
        <f t="shared" si="12"/>
        <v>14721.735000000001</v>
      </c>
      <c r="I86" s="126">
        <v>0</v>
      </c>
    </row>
    <row r="87" spans="1:9" ht="16" outlineLevel="2">
      <c r="A87" s="713"/>
      <c r="B87" s="714"/>
      <c r="C87" s="714"/>
      <c r="D87" s="68" t="s">
        <v>33</v>
      </c>
      <c r="E87" s="72">
        <f t="shared" si="9"/>
        <v>43179.885000000002</v>
      </c>
      <c r="F87" s="126">
        <f t="shared" si="10"/>
        <v>11540.235000000001</v>
      </c>
      <c r="G87" s="126">
        <f t="shared" si="11"/>
        <v>16917.915000000001</v>
      </c>
      <c r="H87" s="126">
        <f t="shared" si="12"/>
        <v>14721.735000000001</v>
      </c>
      <c r="I87" s="126">
        <v>0</v>
      </c>
    </row>
    <row r="88" spans="1:9" ht="17" outlineLevel="2" thickBot="1">
      <c r="A88" s="713"/>
      <c r="B88" s="714"/>
      <c r="C88" s="714"/>
      <c r="D88" s="69" t="s">
        <v>34</v>
      </c>
      <c r="E88" s="73">
        <f t="shared" si="9"/>
        <v>43179.885000000002</v>
      </c>
      <c r="F88" s="126">
        <f t="shared" si="10"/>
        <v>11540.235000000001</v>
      </c>
      <c r="G88" s="126">
        <f t="shared" si="11"/>
        <v>16917.915000000001</v>
      </c>
      <c r="H88" s="126">
        <f t="shared" si="12"/>
        <v>14721.735000000001</v>
      </c>
      <c r="I88" s="126">
        <v>0</v>
      </c>
    </row>
    <row r="89" spans="1:9" ht="16" outlineLevel="2">
      <c r="A89" s="713" t="s">
        <v>86</v>
      </c>
      <c r="B89" s="714" t="s">
        <v>80</v>
      </c>
      <c r="C89" s="714">
        <v>637005</v>
      </c>
      <c r="D89" s="67" t="s">
        <v>25</v>
      </c>
      <c r="E89" s="72">
        <f t="shared" si="9"/>
        <v>0</v>
      </c>
      <c r="F89" s="118">
        <v>0</v>
      </c>
      <c r="G89" s="119">
        <v>0</v>
      </c>
      <c r="H89" s="292">
        <v>0</v>
      </c>
      <c r="I89" s="292">
        <v>0</v>
      </c>
    </row>
    <row r="90" spans="1:9" ht="16" outlineLevel="2">
      <c r="A90" s="713"/>
      <c r="B90" s="714"/>
      <c r="C90" s="714"/>
      <c r="D90" s="68" t="s">
        <v>26</v>
      </c>
      <c r="E90" s="72">
        <f t="shared" si="9"/>
        <v>0</v>
      </c>
      <c r="F90" s="120">
        <v>0</v>
      </c>
      <c r="G90" s="121">
        <v>0</v>
      </c>
      <c r="H90" s="293">
        <v>0</v>
      </c>
      <c r="I90" s="293">
        <v>0</v>
      </c>
    </row>
    <row r="91" spans="1:9" ht="16" outlineLevel="2">
      <c r="A91" s="713"/>
      <c r="B91" s="714"/>
      <c r="C91" s="714"/>
      <c r="D91" s="68" t="s">
        <v>27</v>
      </c>
      <c r="E91" s="72">
        <f t="shared" si="9"/>
        <v>0</v>
      </c>
      <c r="F91" s="120">
        <v>0</v>
      </c>
      <c r="G91" s="121">
        <v>0</v>
      </c>
      <c r="H91" s="293">
        <v>0</v>
      </c>
      <c r="I91" s="293">
        <v>0</v>
      </c>
    </row>
    <row r="92" spans="1:9" ht="16" outlineLevel="2">
      <c r="A92" s="713"/>
      <c r="B92" s="714"/>
      <c r="C92" s="714"/>
      <c r="D92" s="68" t="s">
        <v>28</v>
      </c>
      <c r="E92" s="72">
        <f t="shared" si="9"/>
        <v>0</v>
      </c>
      <c r="F92" s="120">
        <v>0</v>
      </c>
      <c r="G92" s="121">
        <v>0</v>
      </c>
      <c r="H92" s="293">
        <v>0</v>
      </c>
      <c r="I92" s="293">
        <v>0</v>
      </c>
    </row>
    <row r="93" spans="1:9" ht="16" outlineLevel="2">
      <c r="A93" s="713"/>
      <c r="B93" s="714"/>
      <c r="C93" s="714"/>
      <c r="D93" s="68" t="s">
        <v>29</v>
      </c>
      <c r="E93" s="72">
        <f t="shared" si="9"/>
        <v>0</v>
      </c>
      <c r="F93" s="120">
        <v>0</v>
      </c>
      <c r="G93" s="121">
        <v>0</v>
      </c>
      <c r="H93" s="293">
        <v>0</v>
      </c>
      <c r="I93" s="293">
        <v>0</v>
      </c>
    </row>
    <row r="94" spans="1:9" ht="16" outlineLevel="2">
      <c r="A94" s="713"/>
      <c r="B94" s="714"/>
      <c r="C94" s="714"/>
      <c r="D94" s="68" t="s">
        <v>30</v>
      </c>
      <c r="E94" s="72">
        <f t="shared" si="9"/>
        <v>0</v>
      </c>
      <c r="F94" s="120">
        <v>0</v>
      </c>
      <c r="G94" s="121">
        <v>0</v>
      </c>
      <c r="H94" s="293">
        <v>0</v>
      </c>
      <c r="I94" s="293">
        <v>0</v>
      </c>
    </row>
    <row r="95" spans="1:9" ht="16" outlineLevel="2">
      <c r="A95" s="713"/>
      <c r="B95" s="714"/>
      <c r="C95" s="714"/>
      <c r="D95" s="68" t="s">
        <v>31</v>
      </c>
      <c r="E95" s="72">
        <f t="shared" si="9"/>
        <v>0</v>
      </c>
      <c r="F95" s="120">
        <v>0</v>
      </c>
      <c r="G95" s="121">
        <v>0</v>
      </c>
      <c r="H95" s="293">
        <v>0</v>
      </c>
      <c r="I95" s="293">
        <v>0</v>
      </c>
    </row>
    <row r="96" spans="1:9" ht="16" outlineLevel="2">
      <c r="A96" s="713"/>
      <c r="B96" s="714"/>
      <c r="C96" s="714"/>
      <c r="D96" s="68" t="s">
        <v>32</v>
      </c>
      <c r="E96" s="72">
        <f t="shared" si="9"/>
        <v>0</v>
      </c>
      <c r="F96" s="120">
        <v>0</v>
      </c>
      <c r="G96" s="121">
        <v>0</v>
      </c>
      <c r="H96" s="293">
        <v>0</v>
      </c>
      <c r="I96" s="293">
        <v>0</v>
      </c>
    </row>
    <row r="97" spans="1:9" ht="16" outlineLevel="2">
      <c r="A97" s="713"/>
      <c r="B97" s="714"/>
      <c r="C97" s="714"/>
      <c r="D97" s="68" t="s">
        <v>33</v>
      </c>
      <c r="E97" s="72">
        <f t="shared" si="9"/>
        <v>0</v>
      </c>
      <c r="F97" s="120">
        <v>0</v>
      </c>
      <c r="G97" s="121">
        <v>0</v>
      </c>
      <c r="H97" s="293">
        <v>0</v>
      </c>
      <c r="I97" s="293">
        <v>0</v>
      </c>
    </row>
    <row r="98" spans="1:9" ht="17" outlineLevel="2" thickBot="1">
      <c r="A98" s="713"/>
      <c r="B98" s="714"/>
      <c r="C98" s="714"/>
      <c r="D98" s="69" t="s">
        <v>34</v>
      </c>
      <c r="E98" s="73">
        <f t="shared" si="9"/>
        <v>0</v>
      </c>
      <c r="F98" s="122">
        <v>0</v>
      </c>
      <c r="G98" s="123">
        <v>0</v>
      </c>
      <c r="H98" s="294">
        <v>0</v>
      </c>
      <c r="I98" s="294">
        <v>0</v>
      </c>
    </row>
    <row r="99" spans="1:9" ht="16" outlineLevel="2">
      <c r="A99" s="713" t="s">
        <v>87</v>
      </c>
      <c r="B99" s="714" t="s">
        <v>75</v>
      </c>
      <c r="C99" s="714">
        <v>718006</v>
      </c>
      <c r="D99" s="67" t="s">
        <v>25</v>
      </c>
      <c r="E99" s="72">
        <f t="shared" si="9"/>
        <v>0</v>
      </c>
      <c r="F99" s="118">
        <v>0</v>
      </c>
      <c r="G99" s="119">
        <v>0</v>
      </c>
      <c r="H99" s="292">
        <v>0</v>
      </c>
      <c r="I99" s="292">
        <v>0</v>
      </c>
    </row>
    <row r="100" spans="1:9" ht="16" outlineLevel="2">
      <c r="A100" s="713"/>
      <c r="B100" s="714"/>
      <c r="C100" s="714"/>
      <c r="D100" s="68" t="s">
        <v>26</v>
      </c>
      <c r="E100" s="72">
        <f t="shared" si="9"/>
        <v>0</v>
      </c>
      <c r="F100" s="120">
        <v>0</v>
      </c>
      <c r="G100" s="120">
        <v>0</v>
      </c>
      <c r="H100" s="120">
        <v>0</v>
      </c>
      <c r="I100" s="120">
        <v>0</v>
      </c>
    </row>
    <row r="101" spans="1:9" ht="16" outlineLevel="2">
      <c r="A101" s="713"/>
      <c r="B101" s="714"/>
      <c r="C101" s="714"/>
      <c r="D101" s="68" t="s">
        <v>27</v>
      </c>
      <c r="E101" s="72">
        <f t="shared" si="9"/>
        <v>0</v>
      </c>
      <c r="F101" s="120">
        <v>0</v>
      </c>
      <c r="G101" s="120">
        <v>0</v>
      </c>
      <c r="H101" s="120">
        <v>0</v>
      </c>
      <c r="I101" s="120">
        <v>0</v>
      </c>
    </row>
    <row r="102" spans="1:9" ht="16" outlineLevel="2">
      <c r="A102" s="713"/>
      <c r="B102" s="714"/>
      <c r="C102" s="714"/>
      <c r="D102" s="68" t="s">
        <v>28</v>
      </c>
      <c r="E102" s="72">
        <f t="shared" si="9"/>
        <v>0</v>
      </c>
      <c r="F102" s="120">
        <v>0</v>
      </c>
      <c r="G102" s="120">
        <v>0</v>
      </c>
      <c r="H102" s="120">
        <v>0</v>
      </c>
      <c r="I102" s="120">
        <v>0</v>
      </c>
    </row>
    <row r="103" spans="1:9" ht="16" outlineLevel="2">
      <c r="A103" s="713"/>
      <c r="B103" s="714"/>
      <c r="C103" s="714"/>
      <c r="D103" s="68" t="s">
        <v>29</v>
      </c>
      <c r="E103" s="72">
        <f t="shared" si="9"/>
        <v>0</v>
      </c>
      <c r="F103" s="120">
        <v>0</v>
      </c>
      <c r="G103" s="120">
        <v>0</v>
      </c>
      <c r="H103" s="120">
        <v>0</v>
      </c>
      <c r="I103" s="120">
        <v>0</v>
      </c>
    </row>
    <row r="104" spans="1:9" ht="16" outlineLevel="2">
      <c r="A104" s="713"/>
      <c r="B104" s="714"/>
      <c r="C104" s="714"/>
      <c r="D104" s="68" t="s">
        <v>30</v>
      </c>
      <c r="E104" s="72">
        <f t="shared" si="9"/>
        <v>0</v>
      </c>
      <c r="F104" s="120">
        <v>0</v>
      </c>
      <c r="G104" s="120">
        <v>0</v>
      </c>
      <c r="H104" s="120">
        <v>0</v>
      </c>
      <c r="I104" s="120">
        <v>0</v>
      </c>
    </row>
    <row r="105" spans="1:9" ht="16" outlineLevel="2">
      <c r="A105" s="713"/>
      <c r="B105" s="714"/>
      <c r="C105" s="714"/>
      <c r="D105" s="68" t="s">
        <v>31</v>
      </c>
      <c r="E105" s="72">
        <f t="shared" si="9"/>
        <v>0</v>
      </c>
      <c r="F105" s="120">
        <v>0</v>
      </c>
      <c r="G105" s="120">
        <v>0</v>
      </c>
      <c r="H105" s="120">
        <v>0</v>
      </c>
      <c r="I105" s="120">
        <v>0</v>
      </c>
    </row>
    <row r="106" spans="1:9" ht="16" outlineLevel="2">
      <c r="A106" s="713"/>
      <c r="B106" s="714"/>
      <c r="C106" s="714"/>
      <c r="D106" s="68" t="s">
        <v>32</v>
      </c>
      <c r="E106" s="72">
        <f t="shared" si="9"/>
        <v>0</v>
      </c>
      <c r="F106" s="120">
        <v>0</v>
      </c>
      <c r="G106" s="120">
        <v>0</v>
      </c>
      <c r="H106" s="120">
        <v>0</v>
      </c>
      <c r="I106" s="120">
        <v>0</v>
      </c>
    </row>
    <row r="107" spans="1:9" ht="16" outlineLevel="2">
      <c r="A107" s="713"/>
      <c r="B107" s="714"/>
      <c r="C107" s="714"/>
      <c r="D107" s="68" t="s">
        <v>33</v>
      </c>
      <c r="E107" s="72">
        <f t="shared" si="9"/>
        <v>0</v>
      </c>
      <c r="F107" s="120">
        <v>0</v>
      </c>
      <c r="G107" s="120">
        <v>0</v>
      </c>
      <c r="H107" s="120">
        <v>0</v>
      </c>
      <c r="I107" s="120">
        <v>0</v>
      </c>
    </row>
    <row r="108" spans="1:9" ht="17" outlineLevel="2" thickBot="1">
      <c r="A108" s="713"/>
      <c r="B108" s="714"/>
      <c r="C108" s="714"/>
      <c r="D108" s="69" t="s">
        <v>34</v>
      </c>
      <c r="E108" s="73">
        <f t="shared" si="9"/>
        <v>0</v>
      </c>
      <c r="F108" s="120">
        <v>0</v>
      </c>
      <c r="G108" s="120">
        <v>0</v>
      </c>
      <c r="H108" s="120">
        <v>0</v>
      </c>
      <c r="I108" s="120">
        <v>0</v>
      </c>
    </row>
    <row r="109" spans="1:9" ht="16" outlineLevel="2">
      <c r="A109" s="713" t="s">
        <v>88</v>
      </c>
      <c r="B109" s="714" t="s">
        <v>89</v>
      </c>
      <c r="C109" s="714">
        <v>610</v>
      </c>
      <c r="D109" s="67" t="s">
        <v>25</v>
      </c>
      <c r="E109" s="72">
        <f t="shared" si="9"/>
        <v>0</v>
      </c>
      <c r="F109" s="118">
        <v>0</v>
      </c>
      <c r="G109" s="119">
        <v>0</v>
      </c>
      <c r="H109" s="292">
        <v>0</v>
      </c>
      <c r="I109" s="292">
        <v>0</v>
      </c>
    </row>
    <row r="110" spans="1:9" ht="16" outlineLevel="2">
      <c r="A110" s="713"/>
      <c r="B110" s="714"/>
      <c r="C110" s="714"/>
      <c r="D110" s="68" t="s">
        <v>26</v>
      </c>
      <c r="E110" s="72">
        <f t="shared" si="9"/>
        <v>0</v>
      </c>
      <c r="F110" s="120">
        <v>0</v>
      </c>
      <c r="G110" s="120">
        <v>0</v>
      </c>
      <c r="H110" s="120">
        <v>0</v>
      </c>
      <c r="I110" s="120">
        <v>0</v>
      </c>
    </row>
    <row r="111" spans="1:9" ht="16" outlineLevel="2">
      <c r="A111" s="713"/>
      <c r="B111" s="714"/>
      <c r="C111" s="714"/>
      <c r="D111" s="68" t="s">
        <v>27</v>
      </c>
      <c r="E111" s="72">
        <f t="shared" ref="E111:E142" si="13">SUM(F111:I111)</f>
        <v>0</v>
      </c>
      <c r="F111" s="120">
        <v>0</v>
      </c>
      <c r="G111" s="120">
        <v>0</v>
      </c>
      <c r="H111" s="120">
        <v>0</v>
      </c>
      <c r="I111" s="120">
        <v>0</v>
      </c>
    </row>
    <row r="112" spans="1:9" ht="16" outlineLevel="2">
      <c r="A112" s="713"/>
      <c r="B112" s="714"/>
      <c r="C112" s="714"/>
      <c r="D112" s="68" t="s">
        <v>28</v>
      </c>
      <c r="E112" s="72">
        <f t="shared" si="13"/>
        <v>0</v>
      </c>
      <c r="F112" s="120">
        <v>0</v>
      </c>
      <c r="G112" s="120">
        <v>0</v>
      </c>
      <c r="H112" s="120">
        <v>0</v>
      </c>
      <c r="I112" s="120">
        <v>0</v>
      </c>
    </row>
    <row r="113" spans="1:9" ht="16" outlineLevel="2">
      <c r="A113" s="713"/>
      <c r="B113" s="714"/>
      <c r="C113" s="714"/>
      <c r="D113" s="68" t="s">
        <v>29</v>
      </c>
      <c r="E113" s="72">
        <f t="shared" si="13"/>
        <v>0</v>
      </c>
      <c r="F113" s="120">
        <v>0</v>
      </c>
      <c r="G113" s="120">
        <v>0</v>
      </c>
      <c r="H113" s="120">
        <v>0</v>
      </c>
      <c r="I113" s="120">
        <v>0</v>
      </c>
    </row>
    <row r="114" spans="1:9" ht="16" outlineLevel="2">
      <c r="A114" s="713"/>
      <c r="B114" s="714"/>
      <c r="C114" s="714"/>
      <c r="D114" s="68" t="s">
        <v>30</v>
      </c>
      <c r="E114" s="72">
        <f t="shared" si="13"/>
        <v>0</v>
      </c>
      <c r="F114" s="120">
        <v>0</v>
      </c>
      <c r="G114" s="120">
        <v>0</v>
      </c>
      <c r="H114" s="120">
        <v>0</v>
      </c>
      <c r="I114" s="120">
        <v>0</v>
      </c>
    </row>
    <row r="115" spans="1:9" ht="16" outlineLevel="2">
      <c r="A115" s="713"/>
      <c r="B115" s="714"/>
      <c r="C115" s="714"/>
      <c r="D115" s="68" t="s">
        <v>31</v>
      </c>
      <c r="E115" s="72">
        <f t="shared" si="13"/>
        <v>0</v>
      </c>
      <c r="F115" s="120">
        <v>0</v>
      </c>
      <c r="G115" s="120">
        <v>0</v>
      </c>
      <c r="H115" s="120">
        <v>0</v>
      </c>
      <c r="I115" s="120">
        <v>0</v>
      </c>
    </row>
    <row r="116" spans="1:9" ht="16" outlineLevel="2">
      <c r="A116" s="713"/>
      <c r="B116" s="714"/>
      <c r="C116" s="714"/>
      <c r="D116" s="68" t="s">
        <v>32</v>
      </c>
      <c r="E116" s="72">
        <f t="shared" si="13"/>
        <v>0</v>
      </c>
      <c r="F116" s="120">
        <v>0</v>
      </c>
      <c r="G116" s="120">
        <v>0</v>
      </c>
      <c r="H116" s="120">
        <v>0</v>
      </c>
      <c r="I116" s="120">
        <v>0</v>
      </c>
    </row>
    <row r="117" spans="1:9" ht="16" outlineLevel="2">
      <c r="A117" s="713"/>
      <c r="B117" s="714"/>
      <c r="C117" s="714"/>
      <c r="D117" s="68" t="s">
        <v>33</v>
      </c>
      <c r="E117" s="72">
        <f t="shared" si="13"/>
        <v>0</v>
      </c>
      <c r="F117" s="120">
        <v>0</v>
      </c>
      <c r="G117" s="120">
        <v>0</v>
      </c>
      <c r="H117" s="120">
        <v>0</v>
      </c>
      <c r="I117" s="120">
        <v>0</v>
      </c>
    </row>
    <row r="118" spans="1:9" ht="17" outlineLevel="2" thickBot="1">
      <c r="A118" s="713"/>
      <c r="B118" s="714"/>
      <c r="C118" s="714"/>
      <c r="D118" s="69" t="s">
        <v>34</v>
      </c>
      <c r="E118" s="73">
        <f t="shared" si="13"/>
        <v>0</v>
      </c>
      <c r="F118" s="120">
        <v>0</v>
      </c>
      <c r="G118" s="120">
        <v>0</v>
      </c>
      <c r="H118" s="120">
        <v>0</v>
      </c>
      <c r="I118" s="120">
        <v>0</v>
      </c>
    </row>
    <row r="119" spans="1:9" ht="16" outlineLevel="2">
      <c r="A119" s="713" t="s">
        <v>79</v>
      </c>
      <c r="B119" s="714" t="s">
        <v>80</v>
      </c>
      <c r="C119" s="714">
        <v>637001</v>
      </c>
      <c r="D119" s="67" t="s">
        <v>25</v>
      </c>
      <c r="E119" s="72">
        <f t="shared" si="13"/>
        <v>0</v>
      </c>
      <c r="F119" s="118">
        <v>0</v>
      </c>
      <c r="G119" s="119">
        <v>0</v>
      </c>
      <c r="H119" s="292">
        <v>0</v>
      </c>
      <c r="I119" s="292">
        <v>0</v>
      </c>
    </row>
    <row r="120" spans="1:9" ht="16" outlineLevel="2">
      <c r="A120" s="713"/>
      <c r="B120" s="714"/>
      <c r="C120" s="714"/>
      <c r="D120" s="68" t="s">
        <v>26</v>
      </c>
      <c r="E120" s="72">
        <f t="shared" si="13"/>
        <v>0</v>
      </c>
      <c r="F120" s="120">
        <v>0</v>
      </c>
      <c r="G120" s="121">
        <v>0</v>
      </c>
      <c r="H120" s="293">
        <v>0</v>
      </c>
      <c r="I120" s="293">
        <v>0</v>
      </c>
    </row>
    <row r="121" spans="1:9" ht="16" outlineLevel="2">
      <c r="A121" s="713"/>
      <c r="B121" s="714"/>
      <c r="C121" s="714"/>
      <c r="D121" s="68" t="s">
        <v>27</v>
      </c>
      <c r="E121" s="72">
        <f t="shared" si="13"/>
        <v>0</v>
      </c>
      <c r="F121" s="120">
        <v>0</v>
      </c>
      <c r="G121" s="121">
        <v>0</v>
      </c>
      <c r="H121" s="293">
        <v>0</v>
      </c>
      <c r="I121" s="293">
        <v>0</v>
      </c>
    </row>
    <row r="122" spans="1:9" ht="16" outlineLevel="2">
      <c r="A122" s="713"/>
      <c r="B122" s="714"/>
      <c r="C122" s="714"/>
      <c r="D122" s="68" t="s">
        <v>28</v>
      </c>
      <c r="E122" s="72">
        <f t="shared" si="13"/>
        <v>0</v>
      </c>
      <c r="F122" s="120">
        <v>0</v>
      </c>
      <c r="G122" s="121">
        <v>0</v>
      </c>
      <c r="H122" s="293">
        <v>0</v>
      </c>
      <c r="I122" s="293">
        <v>0</v>
      </c>
    </row>
    <row r="123" spans="1:9" ht="16" outlineLevel="2">
      <c r="A123" s="713"/>
      <c r="B123" s="714"/>
      <c r="C123" s="714"/>
      <c r="D123" s="68" t="s">
        <v>29</v>
      </c>
      <c r="E123" s="72">
        <f t="shared" si="13"/>
        <v>0</v>
      </c>
      <c r="F123" s="120">
        <v>0</v>
      </c>
      <c r="G123" s="121">
        <v>0</v>
      </c>
      <c r="H123" s="293">
        <v>0</v>
      </c>
      <c r="I123" s="293">
        <v>0</v>
      </c>
    </row>
    <row r="124" spans="1:9" ht="16" outlineLevel="2">
      <c r="A124" s="713"/>
      <c r="B124" s="714"/>
      <c r="C124" s="714"/>
      <c r="D124" s="68" t="s">
        <v>30</v>
      </c>
      <c r="E124" s="72">
        <f t="shared" si="13"/>
        <v>0</v>
      </c>
      <c r="F124" s="120">
        <v>0</v>
      </c>
      <c r="G124" s="121">
        <v>0</v>
      </c>
      <c r="H124" s="293">
        <v>0</v>
      </c>
      <c r="I124" s="293">
        <v>0</v>
      </c>
    </row>
    <row r="125" spans="1:9" ht="16" outlineLevel="2">
      <c r="A125" s="713"/>
      <c r="B125" s="714"/>
      <c r="C125" s="714"/>
      <c r="D125" s="68" t="s">
        <v>31</v>
      </c>
      <c r="E125" s="72">
        <f t="shared" si="13"/>
        <v>0</v>
      </c>
      <c r="F125" s="120">
        <v>0</v>
      </c>
      <c r="G125" s="121">
        <v>0</v>
      </c>
      <c r="H125" s="293">
        <v>0</v>
      </c>
      <c r="I125" s="293">
        <v>0</v>
      </c>
    </row>
    <row r="126" spans="1:9" ht="16" outlineLevel="2">
      <c r="A126" s="713"/>
      <c r="B126" s="714"/>
      <c r="C126" s="714"/>
      <c r="D126" s="68" t="s">
        <v>32</v>
      </c>
      <c r="E126" s="72">
        <f t="shared" si="13"/>
        <v>0</v>
      </c>
      <c r="F126" s="120">
        <v>0</v>
      </c>
      <c r="G126" s="121">
        <v>0</v>
      </c>
      <c r="H126" s="293">
        <v>0</v>
      </c>
      <c r="I126" s="293">
        <v>0</v>
      </c>
    </row>
    <row r="127" spans="1:9" ht="16" outlineLevel="2">
      <c r="A127" s="713"/>
      <c r="B127" s="714"/>
      <c r="C127" s="714"/>
      <c r="D127" s="68" t="s">
        <v>33</v>
      </c>
      <c r="E127" s="72">
        <f t="shared" si="13"/>
        <v>0</v>
      </c>
      <c r="F127" s="120">
        <v>0</v>
      </c>
      <c r="G127" s="121">
        <v>0</v>
      </c>
      <c r="H127" s="293">
        <v>0</v>
      </c>
      <c r="I127" s="293">
        <v>0</v>
      </c>
    </row>
    <row r="128" spans="1:9" ht="17" outlineLevel="2" thickBot="1">
      <c r="A128" s="713"/>
      <c r="B128" s="714"/>
      <c r="C128" s="714"/>
      <c r="D128" s="69" t="s">
        <v>34</v>
      </c>
      <c r="E128" s="73">
        <f t="shared" si="13"/>
        <v>0</v>
      </c>
      <c r="F128" s="122">
        <v>0</v>
      </c>
      <c r="G128" s="123">
        <v>0</v>
      </c>
      <c r="H128" s="294">
        <v>0</v>
      </c>
      <c r="I128" s="294">
        <v>0</v>
      </c>
    </row>
    <row r="129" spans="1:9" ht="16" thickBot="1">
      <c r="A129" s="17" t="s">
        <v>319</v>
      </c>
      <c r="B129" s="17"/>
      <c r="C129" s="17"/>
      <c r="D129" s="28"/>
      <c r="E129" s="132">
        <f t="shared" ref="E129:I129" si="14">SUM(E130:E149)</f>
        <v>173781</v>
      </c>
      <c r="F129" s="133">
        <f t="shared" si="14"/>
        <v>57927.000000000007</v>
      </c>
      <c r="G129" s="133">
        <f t="shared" si="14"/>
        <v>57927.000000000007</v>
      </c>
      <c r="H129" s="296">
        <f t="shared" si="14"/>
        <v>57927.000000000007</v>
      </c>
      <c r="I129" s="296">
        <f t="shared" si="14"/>
        <v>0</v>
      </c>
    </row>
    <row r="130" spans="1:9" ht="16">
      <c r="A130" s="713" t="s">
        <v>320</v>
      </c>
      <c r="B130" s="714"/>
      <c r="C130" s="714"/>
      <c r="D130" s="67" t="s">
        <v>25</v>
      </c>
      <c r="E130" s="71">
        <f t="shared" ref="E130:E149" si="15">SUM(F130:I130)</f>
        <v>38600</v>
      </c>
      <c r="F130" s="120">
        <f>'Rozpočet - vývoj Aplikácií'!$AS$28/9</f>
        <v>12866.666666666666</v>
      </c>
      <c r="G130" s="120">
        <f>'Rozpočet - vývoj Aplikácií'!$AS$28/9</f>
        <v>12866.666666666666</v>
      </c>
      <c r="H130" s="120">
        <f>'Rozpočet - vývoj Aplikácií'!$AS$28/9</f>
        <v>12866.666666666666</v>
      </c>
      <c r="I130" s="120">
        <v>0</v>
      </c>
    </row>
    <row r="131" spans="1:9" ht="16">
      <c r="A131" s="713"/>
      <c r="B131" s="714"/>
      <c r="C131" s="714"/>
      <c r="D131" s="68" t="s">
        <v>26</v>
      </c>
      <c r="E131" s="72">
        <f t="shared" si="15"/>
        <v>38600</v>
      </c>
      <c r="F131" s="120">
        <f>'Rozpočet - vývoj Aplikácií'!$AS$28/9</f>
        <v>12866.666666666666</v>
      </c>
      <c r="G131" s="120">
        <f>'Rozpočet - vývoj Aplikácií'!$AS$28/9</f>
        <v>12866.666666666666</v>
      </c>
      <c r="H131" s="120">
        <f>'Rozpočet - vývoj Aplikácií'!$AS$28/9</f>
        <v>12866.666666666666</v>
      </c>
      <c r="I131" s="120">
        <v>0</v>
      </c>
    </row>
    <row r="132" spans="1:9" ht="16">
      <c r="A132" s="713"/>
      <c r="B132" s="714"/>
      <c r="C132" s="714"/>
      <c r="D132" s="68" t="s">
        <v>27</v>
      </c>
      <c r="E132" s="72">
        <f t="shared" si="15"/>
        <v>38600</v>
      </c>
      <c r="F132" s="120">
        <f>'Rozpočet - vývoj Aplikácií'!$AS$28/9</f>
        <v>12866.666666666666</v>
      </c>
      <c r="G132" s="120">
        <f>'Rozpočet - vývoj Aplikácií'!$AS$28/9</f>
        <v>12866.666666666666</v>
      </c>
      <c r="H132" s="120">
        <f>'Rozpočet - vývoj Aplikácií'!$AS$28/9</f>
        <v>12866.666666666666</v>
      </c>
      <c r="I132" s="293">
        <v>0</v>
      </c>
    </row>
    <row r="133" spans="1:9" ht="16">
      <c r="A133" s="713"/>
      <c r="B133" s="714"/>
      <c r="C133" s="714"/>
      <c r="D133" s="68" t="s">
        <v>28</v>
      </c>
      <c r="E133" s="72">
        <f t="shared" si="15"/>
        <v>0</v>
      </c>
      <c r="F133" s="120">
        <v>0</v>
      </c>
      <c r="G133" s="121">
        <v>0</v>
      </c>
      <c r="H133" s="293">
        <v>0</v>
      </c>
      <c r="I133" s="293">
        <v>0</v>
      </c>
    </row>
    <row r="134" spans="1:9" ht="16">
      <c r="A134" s="713"/>
      <c r="B134" s="714"/>
      <c r="C134" s="714"/>
      <c r="D134" s="68" t="s">
        <v>29</v>
      </c>
      <c r="E134" s="72">
        <f t="shared" si="15"/>
        <v>0</v>
      </c>
      <c r="F134" s="120">
        <v>0</v>
      </c>
      <c r="G134" s="121">
        <v>0</v>
      </c>
      <c r="H134" s="293">
        <v>0</v>
      </c>
      <c r="I134" s="293">
        <v>0</v>
      </c>
    </row>
    <row r="135" spans="1:9" ht="16">
      <c r="A135" s="713"/>
      <c r="B135" s="714"/>
      <c r="C135" s="714"/>
      <c r="D135" s="68" t="s">
        <v>30</v>
      </c>
      <c r="E135" s="72">
        <f t="shared" si="15"/>
        <v>0</v>
      </c>
      <c r="F135" s="120">
        <v>0</v>
      </c>
      <c r="G135" s="121">
        <v>0</v>
      </c>
      <c r="H135" s="293">
        <v>0</v>
      </c>
      <c r="I135" s="293">
        <v>0</v>
      </c>
    </row>
    <row r="136" spans="1:9" ht="16">
      <c r="A136" s="713"/>
      <c r="B136" s="714"/>
      <c r="C136" s="714"/>
      <c r="D136" s="68" t="s">
        <v>31</v>
      </c>
      <c r="E136" s="72">
        <f t="shared" si="15"/>
        <v>0</v>
      </c>
      <c r="F136" s="120">
        <v>0</v>
      </c>
      <c r="G136" s="121">
        <v>0</v>
      </c>
      <c r="H136" s="293">
        <v>0</v>
      </c>
      <c r="I136" s="293">
        <v>0</v>
      </c>
    </row>
    <row r="137" spans="1:9" ht="16">
      <c r="A137" s="713"/>
      <c r="B137" s="714"/>
      <c r="C137" s="714"/>
      <c r="D137" s="68" t="s">
        <v>32</v>
      </c>
      <c r="E137" s="72">
        <f t="shared" si="15"/>
        <v>0</v>
      </c>
      <c r="F137" s="120">
        <v>0</v>
      </c>
      <c r="G137" s="121">
        <v>0</v>
      </c>
      <c r="H137" s="293">
        <v>0</v>
      </c>
      <c r="I137" s="293">
        <v>0</v>
      </c>
    </row>
    <row r="138" spans="1:9" ht="16">
      <c r="A138" s="713"/>
      <c r="B138" s="714"/>
      <c r="C138" s="714"/>
      <c r="D138" s="68" t="s">
        <v>33</v>
      </c>
      <c r="E138" s="72">
        <f t="shared" si="15"/>
        <v>0</v>
      </c>
      <c r="F138" s="120">
        <v>0</v>
      </c>
      <c r="G138" s="121">
        <v>0</v>
      </c>
      <c r="H138" s="293">
        <v>0</v>
      </c>
      <c r="I138" s="293">
        <v>0</v>
      </c>
    </row>
    <row r="139" spans="1:9" ht="17" thickBot="1">
      <c r="A139" s="713"/>
      <c r="B139" s="714"/>
      <c r="C139" s="714"/>
      <c r="D139" s="69" t="s">
        <v>34</v>
      </c>
      <c r="E139" s="73">
        <f t="shared" si="15"/>
        <v>0</v>
      </c>
      <c r="F139" s="122">
        <v>0</v>
      </c>
      <c r="G139" s="123">
        <v>0</v>
      </c>
      <c r="H139" s="294">
        <v>0</v>
      </c>
      <c r="I139" s="294">
        <v>0</v>
      </c>
    </row>
    <row r="140" spans="1:9" ht="16">
      <c r="A140" s="713" t="s">
        <v>155</v>
      </c>
      <c r="B140" s="714"/>
      <c r="C140" s="714" t="s">
        <v>346</v>
      </c>
      <c r="D140" s="67" t="s">
        <v>25</v>
      </c>
      <c r="E140" s="72">
        <f t="shared" si="15"/>
        <v>19327</v>
      </c>
      <c r="F140" s="124">
        <f>'Rozpočet - vývoj Aplikácií'!$AS$29/9</f>
        <v>6442.333333333333</v>
      </c>
      <c r="G140" s="124">
        <f>'Rozpočet - vývoj Aplikácií'!$AS$29/9</f>
        <v>6442.333333333333</v>
      </c>
      <c r="H140" s="124">
        <f>'Rozpočet - vývoj Aplikácií'!$AS$29/9</f>
        <v>6442.333333333333</v>
      </c>
      <c r="I140" s="124">
        <v>0</v>
      </c>
    </row>
    <row r="141" spans="1:9" ht="16">
      <c r="A141" s="713"/>
      <c r="B141" s="714"/>
      <c r="C141" s="714"/>
      <c r="D141" s="68" t="s">
        <v>26</v>
      </c>
      <c r="E141" s="72">
        <f t="shared" si="15"/>
        <v>19327</v>
      </c>
      <c r="F141" s="120">
        <f>'Rozpočet - vývoj Aplikácií'!$AS$29/9</f>
        <v>6442.333333333333</v>
      </c>
      <c r="G141" s="121">
        <f>'Rozpočet - vývoj Aplikácií'!$AS$29/9</f>
        <v>6442.333333333333</v>
      </c>
      <c r="H141" s="293">
        <f>'Rozpočet - vývoj Aplikácií'!$AS$29/9</f>
        <v>6442.333333333333</v>
      </c>
      <c r="I141" s="293">
        <v>0</v>
      </c>
    </row>
    <row r="142" spans="1:9" ht="16">
      <c r="A142" s="713"/>
      <c r="B142" s="714"/>
      <c r="C142" s="714"/>
      <c r="D142" s="68" t="s">
        <v>27</v>
      </c>
      <c r="E142" s="72">
        <f t="shared" si="15"/>
        <v>19327</v>
      </c>
      <c r="F142" s="120">
        <f>'Rozpočet - vývoj Aplikácií'!$AS$29/9</f>
        <v>6442.333333333333</v>
      </c>
      <c r="G142" s="121">
        <f>'Rozpočet - vývoj Aplikácií'!$AS$29/9</f>
        <v>6442.333333333333</v>
      </c>
      <c r="H142" s="293">
        <f>'Rozpočet - vývoj Aplikácií'!$AS$29/9</f>
        <v>6442.333333333333</v>
      </c>
      <c r="I142" s="293">
        <v>0</v>
      </c>
    </row>
    <row r="143" spans="1:9" ht="16">
      <c r="A143" s="713"/>
      <c r="B143" s="714"/>
      <c r="C143" s="714"/>
      <c r="D143" s="68" t="s">
        <v>28</v>
      </c>
      <c r="E143" s="72">
        <f t="shared" si="15"/>
        <v>0</v>
      </c>
      <c r="F143" s="120">
        <v>0</v>
      </c>
      <c r="G143" s="121">
        <v>0</v>
      </c>
      <c r="H143" s="293">
        <v>0</v>
      </c>
      <c r="I143" s="293">
        <v>0</v>
      </c>
    </row>
    <row r="144" spans="1:9" ht="16">
      <c r="A144" s="713"/>
      <c r="B144" s="714"/>
      <c r="C144" s="714"/>
      <c r="D144" s="68" t="s">
        <v>29</v>
      </c>
      <c r="E144" s="72">
        <f t="shared" si="15"/>
        <v>0</v>
      </c>
      <c r="F144" s="120">
        <v>0</v>
      </c>
      <c r="G144" s="121">
        <v>0</v>
      </c>
      <c r="H144" s="293">
        <v>0</v>
      </c>
      <c r="I144" s="293">
        <v>0</v>
      </c>
    </row>
    <row r="145" spans="1:9" ht="16">
      <c r="A145" s="713"/>
      <c r="B145" s="714"/>
      <c r="C145" s="714"/>
      <c r="D145" s="68" t="s">
        <v>30</v>
      </c>
      <c r="E145" s="72">
        <f t="shared" si="15"/>
        <v>0</v>
      </c>
      <c r="F145" s="120">
        <v>0</v>
      </c>
      <c r="G145" s="121">
        <v>0</v>
      </c>
      <c r="H145" s="293">
        <v>0</v>
      </c>
      <c r="I145" s="293">
        <v>0</v>
      </c>
    </row>
    <row r="146" spans="1:9" ht="16">
      <c r="A146" s="713"/>
      <c r="B146" s="714"/>
      <c r="C146" s="714"/>
      <c r="D146" s="68" t="s">
        <v>31</v>
      </c>
      <c r="E146" s="72">
        <f t="shared" si="15"/>
        <v>0</v>
      </c>
      <c r="F146" s="120">
        <v>0</v>
      </c>
      <c r="G146" s="121">
        <v>0</v>
      </c>
      <c r="H146" s="293">
        <v>0</v>
      </c>
      <c r="I146" s="293">
        <v>0</v>
      </c>
    </row>
    <row r="147" spans="1:9" ht="16">
      <c r="A147" s="713"/>
      <c r="B147" s="714"/>
      <c r="C147" s="714"/>
      <c r="D147" s="68" t="s">
        <v>32</v>
      </c>
      <c r="E147" s="72">
        <f t="shared" si="15"/>
        <v>0</v>
      </c>
      <c r="F147" s="120">
        <v>0</v>
      </c>
      <c r="G147" s="121">
        <v>0</v>
      </c>
      <c r="H147" s="293">
        <v>0</v>
      </c>
      <c r="I147" s="293">
        <v>0</v>
      </c>
    </row>
    <row r="148" spans="1:9" ht="16">
      <c r="A148" s="713"/>
      <c r="B148" s="714"/>
      <c r="C148" s="714"/>
      <c r="D148" s="68" t="s">
        <v>33</v>
      </c>
      <c r="E148" s="72">
        <f t="shared" si="15"/>
        <v>0</v>
      </c>
      <c r="F148" s="120">
        <v>0</v>
      </c>
      <c r="G148" s="121">
        <v>0</v>
      </c>
      <c r="H148" s="293">
        <v>0</v>
      </c>
      <c r="I148" s="293">
        <v>0</v>
      </c>
    </row>
    <row r="149" spans="1:9" ht="17" thickBot="1">
      <c r="A149" s="713"/>
      <c r="B149" s="714"/>
      <c r="C149" s="714"/>
      <c r="D149" s="69" t="s">
        <v>34</v>
      </c>
      <c r="E149" s="73">
        <f t="shared" si="15"/>
        <v>0</v>
      </c>
      <c r="F149" s="122">
        <v>0</v>
      </c>
      <c r="G149" s="123">
        <v>0</v>
      </c>
      <c r="H149" s="294">
        <v>0</v>
      </c>
      <c r="I149" s="294">
        <v>0</v>
      </c>
    </row>
    <row r="150" spans="1:9" ht="16" thickBot="1">
      <c r="A150" s="711" t="s">
        <v>347</v>
      </c>
      <c r="B150" s="712"/>
      <c r="C150" s="712"/>
      <c r="D150" s="80"/>
      <c r="E150" s="77">
        <f t="shared" ref="E150:I150" si="16">SUM(E151:E170)</f>
        <v>0</v>
      </c>
      <c r="F150" s="78">
        <f t="shared" si="16"/>
        <v>0</v>
      </c>
      <c r="G150" s="78">
        <f t="shared" si="16"/>
        <v>0</v>
      </c>
      <c r="H150" s="287">
        <f t="shared" si="16"/>
        <v>0</v>
      </c>
      <c r="I150" s="287">
        <f t="shared" si="16"/>
        <v>0</v>
      </c>
    </row>
    <row r="151" spans="1:9" ht="16">
      <c r="A151" s="713" t="s">
        <v>349</v>
      </c>
      <c r="B151" s="714" t="s">
        <v>80</v>
      </c>
      <c r="C151" s="714">
        <v>633013</v>
      </c>
      <c r="D151" s="67" t="s">
        <v>25</v>
      </c>
      <c r="E151" s="64">
        <f t="shared" ref="E151:E170" si="17">SUM(F151:I151)</f>
        <v>0</v>
      </c>
      <c r="F151" s="126">
        <v>0</v>
      </c>
      <c r="G151" s="127">
        <v>0</v>
      </c>
      <c r="H151" s="289">
        <v>0</v>
      </c>
      <c r="I151" s="289">
        <v>0</v>
      </c>
    </row>
    <row r="152" spans="1:9" ht="16">
      <c r="A152" s="713"/>
      <c r="B152" s="714"/>
      <c r="C152" s="714"/>
      <c r="D152" s="68" t="s">
        <v>26</v>
      </c>
      <c r="E152" s="65">
        <f t="shared" si="17"/>
        <v>0</v>
      </c>
      <c r="F152" s="126">
        <v>0</v>
      </c>
      <c r="G152" s="127">
        <v>0</v>
      </c>
      <c r="H152" s="289">
        <v>0</v>
      </c>
      <c r="I152" s="289">
        <v>0</v>
      </c>
    </row>
    <row r="153" spans="1:9" ht="16">
      <c r="A153" s="713"/>
      <c r="B153" s="714"/>
      <c r="C153" s="714"/>
      <c r="D153" s="68" t="s">
        <v>27</v>
      </c>
      <c r="E153" s="65">
        <f t="shared" si="17"/>
        <v>0</v>
      </c>
      <c r="F153" s="126">
        <v>0</v>
      </c>
      <c r="G153" s="127">
        <v>0</v>
      </c>
      <c r="H153" s="289">
        <v>0</v>
      </c>
      <c r="I153" s="289">
        <v>0</v>
      </c>
    </row>
    <row r="154" spans="1:9" ht="16">
      <c r="A154" s="713"/>
      <c r="B154" s="714"/>
      <c r="C154" s="714"/>
      <c r="D154" s="68" t="s">
        <v>28</v>
      </c>
      <c r="E154" s="65">
        <f t="shared" si="17"/>
        <v>0</v>
      </c>
      <c r="F154" s="126">
        <v>0</v>
      </c>
      <c r="G154" s="127">
        <v>0</v>
      </c>
      <c r="H154" s="289">
        <v>0</v>
      </c>
      <c r="I154" s="289">
        <v>0</v>
      </c>
    </row>
    <row r="155" spans="1:9" ht="16">
      <c r="A155" s="713"/>
      <c r="B155" s="714"/>
      <c r="C155" s="714"/>
      <c r="D155" s="68" t="s">
        <v>29</v>
      </c>
      <c r="E155" s="65">
        <f t="shared" si="17"/>
        <v>0</v>
      </c>
      <c r="F155" s="126">
        <v>0</v>
      </c>
      <c r="G155" s="127">
        <v>0</v>
      </c>
      <c r="H155" s="289">
        <v>0</v>
      </c>
      <c r="I155" s="289">
        <v>0</v>
      </c>
    </row>
    <row r="156" spans="1:9" ht="16">
      <c r="A156" s="713"/>
      <c r="B156" s="714"/>
      <c r="C156" s="714"/>
      <c r="D156" s="68" t="s">
        <v>30</v>
      </c>
      <c r="E156" s="65">
        <f t="shared" si="17"/>
        <v>0</v>
      </c>
      <c r="F156" s="126">
        <v>0</v>
      </c>
      <c r="G156" s="127">
        <v>0</v>
      </c>
      <c r="H156" s="289">
        <v>0</v>
      </c>
      <c r="I156" s="289">
        <v>0</v>
      </c>
    </row>
    <row r="157" spans="1:9" ht="16">
      <c r="A157" s="713"/>
      <c r="B157" s="714"/>
      <c r="C157" s="714"/>
      <c r="D157" s="68" t="s">
        <v>31</v>
      </c>
      <c r="E157" s="65">
        <f t="shared" si="17"/>
        <v>0</v>
      </c>
      <c r="F157" s="126">
        <v>0</v>
      </c>
      <c r="G157" s="127">
        <v>0</v>
      </c>
      <c r="H157" s="289">
        <v>0</v>
      </c>
      <c r="I157" s="289">
        <v>0</v>
      </c>
    </row>
    <row r="158" spans="1:9" ht="16">
      <c r="A158" s="713"/>
      <c r="B158" s="714"/>
      <c r="C158" s="714"/>
      <c r="D158" s="68" t="s">
        <v>32</v>
      </c>
      <c r="E158" s="65">
        <f t="shared" si="17"/>
        <v>0</v>
      </c>
      <c r="F158" s="126">
        <v>0</v>
      </c>
      <c r="G158" s="127">
        <v>0</v>
      </c>
      <c r="H158" s="289">
        <v>0</v>
      </c>
      <c r="I158" s="289">
        <v>0</v>
      </c>
    </row>
    <row r="159" spans="1:9" ht="16">
      <c r="A159" s="713"/>
      <c r="B159" s="714"/>
      <c r="C159" s="714"/>
      <c r="D159" s="68" t="s">
        <v>33</v>
      </c>
      <c r="E159" s="65">
        <f t="shared" si="17"/>
        <v>0</v>
      </c>
      <c r="F159" s="126">
        <v>0</v>
      </c>
      <c r="G159" s="127">
        <v>0</v>
      </c>
      <c r="H159" s="289">
        <v>0</v>
      </c>
      <c r="I159" s="289">
        <v>0</v>
      </c>
    </row>
    <row r="160" spans="1:9" ht="17" thickBot="1">
      <c r="A160" s="713"/>
      <c r="B160" s="714"/>
      <c r="C160" s="714"/>
      <c r="D160" s="69" t="s">
        <v>34</v>
      </c>
      <c r="E160" s="66">
        <f t="shared" si="17"/>
        <v>0</v>
      </c>
      <c r="F160" s="128">
        <v>0</v>
      </c>
      <c r="G160" s="129">
        <v>0</v>
      </c>
      <c r="H160" s="290">
        <v>0</v>
      </c>
      <c r="I160" s="290">
        <v>0</v>
      </c>
    </row>
    <row r="161" spans="1:9" ht="16">
      <c r="A161" s="713" t="s">
        <v>348</v>
      </c>
      <c r="B161" s="714"/>
      <c r="C161" s="714">
        <v>637031</v>
      </c>
      <c r="D161" s="67" t="s">
        <v>25</v>
      </c>
      <c r="E161" s="65">
        <f t="shared" si="17"/>
        <v>0</v>
      </c>
      <c r="F161" s="124">
        <v>0</v>
      </c>
      <c r="G161" s="125">
        <v>0</v>
      </c>
      <c r="H161" s="288">
        <v>0</v>
      </c>
      <c r="I161" s="288">
        <v>0</v>
      </c>
    </row>
    <row r="162" spans="1:9" ht="16">
      <c r="A162" s="713"/>
      <c r="B162" s="714"/>
      <c r="C162" s="714"/>
      <c r="D162" s="68" t="s">
        <v>26</v>
      </c>
      <c r="E162" s="65">
        <f t="shared" si="17"/>
        <v>0</v>
      </c>
      <c r="F162" s="126">
        <v>0</v>
      </c>
      <c r="G162" s="127">
        <v>0</v>
      </c>
      <c r="H162" s="289">
        <v>0</v>
      </c>
      <c r="I162" s="289">
        <v>0</v>
      </c>
    </row>
    <row r="163" spans="1:9" ht="16">
      <c r="A163" s="713"/>
      <c r="B163" s="714"/>
      <c r="C163" s="714"/>
      <c r="D163" s="68" t="s">
        <v>27</v>
      </c>
      <c r="E163" s="65">
        <f t="shared" si="17"/>
        <v>0</v>
      </c>
      <c r="F163" s="126">
        <v>0</v>
      </c>
      <c r="G163" s="127">
        <v>0</v>
      </c>
      <c r="H163" s="289">
        <v>0</v>
      </c>
      <c r="I163" s="289">
        <v>0</v>
      </c>
    </row>
    <row r="164" spans="1:9" ht="16">
      <c r="A164" s="713"/>
      <c r="B164" s="714"/>
      <c r="C164" s="714"/>
      <c r="D164" s="68" t="s">
        <v>28</v>
      </c>
      <c r="E164" s="65">
        <f t="shared" si="17"/>
        <v>0</v>
      </c>
      <c r="F164" s="126">
        <v>0</v>
      </c>
      <c r="G164" s="127">
        <v>0</v>
      </c>
      <c r="H164" s="289">
        <v>0</v>
      </c>
      <c r="I164" s="289">
        <v>0</v>
      </c>
    </row>
    <row r="165" spans="1:9" ht="16">
      <c r="A165" s="713"/>
      <c r="B165" s="714"/>
      <c r="C165" s="714"/>
      <c r="D165" s="68" t="s">
        <v>29</v>
      </c>
      <c r="E165" s="65">
        <f t="shared" si="17"/>
        <v>0</v>
      </c>
      <c r="F165" s="126">
        <v>0</v>
      </c>
      <c r="G165" s="127">
        <v>0</v>
      </c>
      <c r="H165" s="289">
        <v>0</v>
      </c>
      <c r="I165" s="289">
        <v>0</v>
      </c>
    </row>
    <row r="166" spans="1:9" ht="16">
      <c r="A166" s="713"/>
      <c r="B166" s="714"/>
      <c r="C166" s="714"/>
      <c r="D166" s="68" t="s">
        <v>30</v>
      </c>
      <c r="E166" s="65">
        <f t="shared" si="17"/>
        <v>0</v>
      </c>
      <c r="F166" s="126">
        <v>0</v>
      </c>
      <c r="G166" s="127">
        <v>0</v>
      </c>
      <c r="H166" s="289">
        <v>0</v>
      </c>
      <c r="I166" s="289">
        <v>0</v>
      </c>
    </row>
    <row r="167" spans="1:9" ht="16">
      <c r="A167" s="713"/>
      <c r="B167" s="714"/>
      <c r="C167" s="714"/>
      <c r="D167" s="68" t="s">
        <v>31</v>
      </c>
      <c r="E167" s="65">
        <f t="shared" si="17"/>
        <v>0</v>
      </c>
      <c r="F167" s="126">
        <v>0</v>
      </c>
      <c r="G167" s="127">
        <v>0</v>
      </c>
      <c r="H167" s="289">
        <v>0</v>
      </c>
      <c r="I167" s="289">
        <v>0</v>
      </c>
    </row>
    <row r="168" spans="1:9" ht="16">
      <c r="A168" s="713"/>
      <c r="B168" s="714"/>
      <c r="C168" s="714"/>
      <c r="D168" s="68" t="s">
        <v>32</v>
      </c>
      <c r="E168" s="65">
        <f t="shared" si="17"/>
        <v>0</v>
      </c>
      <c r="F168" s="126">
        <v>0</v>
      </c>
      <c r="G168" s="127">
        <v>0</v>
      </c>
      <c r="H168" s="289">
        <v>0</v>
      </c>
      <c r="I168" s="289">
        <v>0</v>
      </c>
    </row>
    <row r="169" spans="1:9" ht="16">
      <c r="A169" s="713"/>
      <c r="B169" s="714"/>
      <c r="C169" s="714"/>
      <c r="D169" s="68" t="s">
        <v>33</v>
      </c>
      <c r="E169" s="65">
        <f t="shared" si="17"/>
        <v>0</v>
      </c>
      <c r="F169" s="126">
        <v>0</v>
      </c>
      <c r="G169" s="127">
        <v>0</v>
      </c>
      <c r="H169" s="289">
        <v>0</v>
      </c>
      <c r="I169" s="289">
        <v>0</v>
      </c>
    </row>
    <row r="170" spans="1:9" ht="17" thickBot="1">
      <c r="A170" s="713"/>
      <c r="B170" s="714"/>
      <c r="C170" s="714"/>
      <c r="D170" s="69" t="s">
        <v>34</v>
      </c>
      <c r="E170" s="66">
        <f t="shared" si="17"/>
        <v>0</v>
      </c>
      <c r="F170" s="128">
        <v>0</v>
      </c>
      <c r="G170" s="129">
        <v>0</v>
      </c>
      <c r="H170" s="290">
        <v>0</v>
      </c>
      <c r="I170" s="290">
        <v>0</v>
      </c>
    </row>
  </sheetData>
  <mergeCells count="52">
    <mergeCell ref="A130:A139"/>
    <mergeCell ref="B130:B139"/>
    <mergeCell ref="C130:C139"/>
    <mergeCell ref="A140:A149"/>
    <mergeCell ref="B140:B149"/>
    <mergeCell ref="C140:C149"/>
    <mergeCell ref="A119:A128"/>
    <mergeCell ref="B119:B128"/>
    <mergeCell ref="C119:C128"/>
    <mergeCell ref="A1:D1"/>
    <mergeCell ref="A99:A108"/>
    <mergeCell ref="B99:B108"/>
    <mergeCell ref="C99:C108"/>
    <mergeCell ref="A109:A118"/>
    <mergeCell ref="B109:B118"/>
    <mergeCell ref="C109:C118"/>
    <mergeCell ref="A79:A88"/>
    <mergeCell ref="B79:B88"/>
    <mergeCell ref="C79:C88"/>
    <mergeCell ref="A89:A98"/>
    <mergeCell ref="B89:B98"/>
    <mergeCell ref="C89:C98"/>
    <mergeCell ref="A56:C56"/>
    <mergeCell ref="A58:A67"/>
    <mergeCell ref="B58:B67"/>
    <mergeCell ref="C58:C67"/>
    <mergeCell ref="A68:A77"/>
    <mergeCell ref="B68:B77"/>
    <mergeCell ref="C68:C77"/>
    <mergeCell ref="A36:A45"/>
    <mergeCell ref="B36:B45"/>
    <mergeCell ref="C36:C45"/>
    <mergeCell ref="A3:C3"/>
    <mergeCell ref="A46:A55"/>
    <mergeCell ref="B46:B55"/>
    <mergeCell ref="C46:C55"/>
    <mergeCell ref="A15:A24"/>
    <mergeCell ref="B15:B24"/>
    <mergeCell ref="C15:C24"/>
    <mergeCell ref="A26:A35"/>
    <mergeCell ref="B26:B35"/>
    <mergeCell ref="C26:C35"/>
    <mergeCell ref="C5:C14"/>
    <mergeCell ref="A5:A14"/>
    <mergeCell ref="B5:B14"/>
    <mergeCell ref="A150:C150"/>
    <mergeCell ref="A151:A160"/>
    <mergeCell ref="B151:B160"/>
    <mergeCell ref="C151:C160"/>
    <mergeCell ref="A161:A170"/>
    <mergeCell ref="B161:B170"/>
    <mergeCell ref="C161:C170"/>
  </mergeCells>
  <pageMargins left="0.7" right="0.7" top="0.75" bottom="0.75" header="0.3" footer="0.3"/>
  <pageSetup paperSize="9" scale="28" orientation="portrait" r:id="rId1"/>
  <ignoredErrors>
    <ignoredError sqref="E25 H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CC"/>
    <outlinePr summaryBelow="0" summaryRight="0"/>
  </sheetPr>
  <dimension ref="A1:F84"/>
  <sheetViews>
    <sheetView view="pageBreakPreview" topLeftCell="A38" zoomScale="80" zoomScaleNormal="85" zoomScaleSheetLayoutView="80" workbookViewId="0">
      <selection activeCell="F30" sqref="F30"/>
    </sheetView>
  </sheetViews>
  <sheetFormatPr baseColWidth="10" defaultColWidth="8.83203125" defaultRowHeight="15" outlineLevelRow="1" outlineLevelCol="1"/>
  <cols>
    <col min="1" max="1" width="22.5" customWidth="1"/>
    <col min="2" max="2" width="23.33203125" customWidth="1"/>
    <col min="3" max="3" width="22.5" customWidth="1"/>
    <col min="5" max="5" width="17.83203125" customWidth="1"/>
    <col min="6" max="6" width="19.33203125" customWidth="1" outlineLevel="1"/>
  </cols>
  <sheetData>
    <row r="1" spans="1:6" ht="33" thickBot="1">
      <c r="A1" s="709" t="s">
        <v>100</v>
      </c>
      <c r="B1" s="709"/>
      <c r="C1" s="709"/>
      <c r="D1" s="710"/>
      <c r="E1" s="70" t="s">
        <v>35</v>
      </c>
      <c r="F1" s="332" t="s">
        <v>410</v>
      </c>
    </row>
    <row r="2" spans="1:6" ht="16" thickBot="1">
      <c r="A2" s="40" t="s">
        <v>0</v>
      </c>
      <c r="B2" s="75" t="s">
        <v>77</v>
      </c>
      <c r="C2" s="75" t="s">
        <v>76</v>
      </c>
      <c r="D2" s="75" t="s">
        <v>23</v>
      </c>
      <c r="E2" s="17"/>
      <c r="F2" s="17"/>
    </row>
    <row r="3" spans="1:6" ht="16" thickBot="1">
      <c r="A3" s="718" t="s">
        <v>90</v>
      </c>
      <c r="B3" s="718"/>
      <c r="C3" s="718"/>
      <c r="D3" s="74"/>
      <c r="E3" s="77">
        <f>SUM(E4:E33)</f>
        <v>1026374.9999999999</v>
      </c>
      <c r="F3" s="78">
        <f>SUM(F4:F33)</f>
        <v>1026374.9999999999</v>
      </c>
    </row>
    <row r="4" spans="1:6" ht="16" outlineLevel="1">
      <c r="A4" s="713" t="s">
        <v>92</v>
      </c>
      <c r="B4" s="713" t="s">
        <v>95</v>
      </c>
      <c r="C4" s="714">
        <v>713002</v>
      </c>
      <c r="D4" s="67" t="s">
        <v>25</v>
      </c>
      <c r="E4" s="71">
        <f t="shared" ref="E4:E33" si="0">SUM(F4:F4)</f>
        <v>1026374.9999999999</v>
      </c>
      <c r="F4" s="118">
        <f>'Rozpočet - HW a licencie'!E14</f>
        <v>1026374.9999999999</v>
      </c>
    </row>
    <row r="5" spans="1:6" ht="16" outlineLevel="1">
      <c r="A5" s="713"/>
      <c r="B5" s="714"/>
      <c r="C5" s="714"/>
      <c r="D5" s="68" t="s">
        <v>26</v>
      </c>
      <c r="E5" s="72">
        <f t="shared" si="0"/>
        <v>0</v>
      </c>
      <c r="F5" s="120">
        <v>0</v>
      </c>
    </row>
    <row r="6" spans="1:6" ht="16" outlineLevel="1">
      <c r="A6" s="713"/>
      <c r="B6" s="714"/>
      <c r="C6" s="714"/>
      <c r="D6" s="68" t="s">
        <v>27</v>
      </c>
      <c r="E6" s="72">
        <f t="shared" si="0"/>
        <v>0</v>
      </c>
      <c r="F6" s="120">
        <v>0</v>
      </c>
    </row>
    <row r="7" spans="1:6" ht="16" outlineLevel="1">
      <c r="A7" s="713"/>
      <c r="B7" s="714"/>
      <c r="C7" s="714"/>
      <c r="D7" s="68" t="s">
        <v>28</v>
      </c>
      <c r="E7" s="72">
        <f t="shared" si="0"/>
        <v>0</v>
      </c>
      <c r="F7" s="120">
        <v>0</v>
      </c>
    </row>
    <row r="8" spans="1:6" ht="16" outlineLevel="1">
      <c r="A8" s="713"/>
      <c r="B8" s="714"/>
      <c r="C8" s="714"/>
      <c r="D8" s="68" t="s">
        <v>29</v>
      </c>
      <c r="E8" s="72">
        <f t="shared" si="0"/>
        <v>0</v>
      </c>
      <c r="F8" s="120">
        <v>0</v>
      </c>
    </row>
    <row r="9" spans="1:6" ht="16" outlineLevel="1">
      <c r="A9" s="713"/>
      <c r="B9" s="714"/>
      <c r="C9" s="714"/>
      <c r="D9" s="68" t="s">
        <v>30</v>
      </c>
      <c r="E9" s="72">
        <f t="shared" si="0"/>
        <v>0</v>
      </c>
      <c r="F9" s="120">
        <v>0</v>
      </c>
    </row>
    <row r="10" spans="1:6" ht="16" outlineLevel="1">
      <c r="A10" s="713"/>
      <c r="B10" s="714"/>
      <c r="C10" s="714"/>
      <c r="D10" s="68" t="s">
        <v>31</v>
      </c>
      <c r="E10" s="72">
        <f t="shared" si="0"/>
        <v>0</v>
      </c>
      <c r="F10" s="120">
        <v>0</v>
      </c>
    </row>
    <row r="11" spans="1:6" ht="16" outlineLevel="1">
      <c r="A11" s="713"/>
      <c r="B11" s="714"/>
      <c r="C11" s="714"/>
      <c r="D11" s="68" t="s">
        <v>32</v>
      </c>
      <c r="E11" s="72">
        <f t="shared" si="0"/>
        <v>0</v>
      </c>
      <c r="F11" s="120">
        <v>0</v>
      </c>
    </row>
    <row r="12" spans="1:6" ht="16" outlineLevel="1">
      <c r="A12" s="713"/>
      <c r="B12" s="714"/>
      <c r="C12" s="714"/>
      <c r="D12" s="68" t="s">
        <v>33</v>
      </c>
      <c r="E12" s="72">
        <f t="shared" si="0"/>
        <v>0</v>
      </c>
      <c r="F12" s="120">
        <v>0</v>
      </c>
    </row>
    <row r="13" spans="1:6" ht="17" outlineLevel="1" thickBot="1">
      <c r="A13" s="713"/>
      <c r="B13" s="714"/>
      <c r="C13" s="714"/>
      <c r="D13" s="69" t="s">
        <v>34</v>
      </c>
      <c r="E13" s="73">
        <f t="shared" si="0"/>
        <v>0</v>
      </c>
      <c r="F13" s="122">
        <v>0</v>
      </c>
    </row>
    <row r="14" spans="1:6" ht="15" customHeight="1" outlineLevel="1">
      <c r="A14" s="713" t="s">
        <v>93</v>
      </c>
      <c r="B14" s="713" t="s">
        <v>117</v>
      </c>
      <c r="C14" s="714">
        <v>633002</v>
      </c>
      <c r="D14" s="67" t="s">
        <v>25</v>
      </c>
      <c r="E14" s="72">
        <f t="shared" si="0"/>
        <v>0</v>
      </c>
      <c r="F14" s="118">
        <v>0</v>
      </c>
    </row>
    <row r="15" spans="1:6" ht="16" outlineLevel="1">
      <c r="A15" s="713"/>
      <c r="B15" s="714"/>
      <c r="C15" s="714"/>
      <c r="D15" s="68" t="s">
        <v>26</v>
      </c>
      <c r="E15" s="72">
        <f t="shared" si="0"/>
        <v>0</v>
      </c>
      <c r="F15" s="120">
        <v>0</v>
      </c>
    </row>
    <row r="16" spans="1:6" ht="16" outlineLevel="1">
      <c r="A16" s="713"/>
      <c r="B16" s="714"/>
      <c r="C16" s="714"/>
      <c r="D16" s="68" t="s">
        <v>27</v>
      </c>
      <c r="E16" s="72">
        <f t="shared" si="0"/>
        <v>0</v>
      </c>
      <c r="F16" s="120">
        <v>0</v>
      </c>
    </row>
    <row r="17" spans="1:6" ht="16" outlineLevel="1">
      <c r="A17" s="713"/>
      <c r="B17" s="714"/>
      <c r="C17" s="714"/>
      <c r="D17" s="68" t="s">
        <v>28</v>
      </c>
      <c r="E17" s="72">
        <f t="shared" si="0"/>
        <v>0</v>
      </c>
      <c r="F17" s="120">
        <v>0</v>
      </c>
    </row>
    <row r="18" spans="1:6" ht="16" outlineLevel="1">
      <c r="A18" s="713"/>
      <c r="B18" s="714"/>
      <c r="C18" s="714"/>
      <c r="D18" s="68" t="s">
        <v>29</v>
      </c>
      <c r="E18" s="72">
        <f t="shared" si="0"/>
        <v>0</v>
      </c>
      <c r="F18" s="120">
        <v>0</v>
      </c>
    </row>
    <row r="19" spans="1:6" ht="16" outlineLevel="1">
      <c r="A19" s="713"/>
      <c r="B19" s="714"/>
      <c r="C19" s="714"/>
      <c r="D19" s="68" t="s">
        <v>30</v>
      </c>
      <c r="E19" s="72">
        <f t="shared" si="0"/>
        <v>0</v>
      </c>
      <c r="F19" s="120">
        <v>0</v>
      </c>
    </row>
    <row r="20" spans="1:6" ht="16" outlineLevel="1">
      <c r="A20" s="713"/>
      <c r="B20" s="714"/>
      <c r="C20" s="714"/>
      <c r="D20" s="68" t="s">
        <v>31</v>
      </c>
      <c r="E20" s="72">
        <f t="shared" si="0"/>
        <v>0</v>
      </c>
      <c r="F20" s="120">
        <v>0</v>
      </c>
    </row>
    <row r="21" spans="1:6" ht="16" outlineLevel="1">
      <c r="A21" s="713"/>
      <c r="B21" s="714"/>
      <c r="C21" s="714"/>
      <c r="D21" s="68" t="s">
        <v>32</v>
      </c>
      <c r="E21" s="72">
        <f t="shared" si="0"/>
        <v>0</v>
      </c>
      <c r="F21" s="120">
        <v>0</v>
      </c>
    </row>
    <row r="22" spans="1:6" ht="16" outlineLevel="1">
      <c r="A22" s="713"/>
      <c r="B22" s="714"/>
      <c r="C22" s="714"/>
      <c r="D22" s="68" t="s">
        <v>33</v>
      </c>
      <c r="E22" s="72">
        <f t="shared" si="0"/>
        <v>0</v>
      </c>
      <c r="F22" s="120">
        <v>0</v>
      </c>
    </row>
    <row r="23" spans="1:6" ht="17" outlineLevel="1" thickBot="1">
      <c r="A23" s="713"/>
      <c r="B23" s="714"/>
      <c r="C23" s="714"/>
      <c r="D23" s="69" t="s">
        <v>34</v>
      </c>
      <c r="E23" s="73">
        <f t="shared" si="0"/>
        <v>0</v>
      </c>
      <c r="F23" s="122">
        <v>0</v>
      </c>
    </row>
    <row r="24" spans="1:6" ht="16" outlineLevel="1">
      <c r="A24" s="713" t="s">
        <v>94</v>
      </c>
      <c r="B24" s="714" t="s">
        <v>80</v>
      </c>
      <c r="C24" s="714">
        <v>637001</v>
      </c>
      <c r="D24" s="67" t="s">
        <v>25</v>
      </c>
      <c r="E24" s="72">
        <f t="shared" si="0"/>
        <v>0</v>
      </c>
      <c r="F24" s="118">
        <v>0</v>
      </c>
    </row>
    <row r="25" spans="1:6" ht="16" outlineLevel="1">
      <c r="A25" s="713"/>
      <c r="B25" s="714"/>
      <c r="C25" s="714"/>
      <c r="D25" s="68" t="s">
        <v>26</v>
      </c>
      <c r="E25" s="72">
        <f t="shared" si="0"/>
        <v>0</v>
      </c>
      <c r="F25" s="120">
        <v>0</v>
      </c>
    </row>
    <row r="26" spans="1:6" ht="16" outlineLevel="1">
      <c r="A26" s="713"/>
      <c r="B26" s="714"/>
      <c r="C26" s="714"/>
      <c r="D26" s="68" t="s">
        <v>27</v>
      </c>
      <c r="E26" s="72">
        <f t="shared" si="0"/>
        <v>0</v>
      </c>
      <c r="F26" s="120">
        <v>0</v>
      </c>
    </row>
    <row r="27" spans="1:6" ht="16" outlineLevel="1">
      <c r="A27" s="713"/>
      <c r="B27" s="714"/>
      <c r="C27" s="714"/>
      <c r="D27" s="68" t="s">
        <v>28</v>
      </c>
      <c r="E27" s="72">
        <f t="shared" si="0"/>
        <v>0</v>
      </c>
      <c r="F27" s="120">
        <v>0</v>
      </c>
    </row>
    <row r="28" spans="1:6" ht="16" outlineLevel="1">
      <c r="A28" s="713"/>
      <c r="B28" s="714"/>
      <c r="C28" s="714"/>
      <c r="D28" s="68" t="s">
        <v>29</v>
      </c>
      <c r="E28" s="72">
        <f t="shared" si="0"/>
        <v>0</v>
      </c>
      <c r="F28" s="120">
        <v>0</v>
      </c>
    </row>
    <row r="29" spans="1:6" ht="16" outlineLevel="1">
      <c r="A29" s="713"/>
      <c r="B29" s="714"/>
      <c r="C29" s="714"/>
      <c r="D29" s="68" t="s">
        <v>30</v>
      </c>
      <c r="E29" s="72">
        <f t="shared" si="0"/>
        <v>0</v>
      </c>
      <c r="F29" s="120">
        <v>0</v>
      </c>
    </row>
    <row r="30" spans="1:6" ht="16" outlineLevel="1">
      <c r="A30" s="713"/>
      <c r="B30" s="714"/>
      <c r="C30" s="714"/>
      <c r="D30" s="68" t="s">
        <v>31</v>
      </c>
      <c r="E30" s="72">
        <f t="shared" si="0"/>
        <v>0</v>
      </c>
      <c r="F30" s="120">
        <v>0</v>
      </c>
    </row>
    <row r="31" spans="1:6" ht="16" outlineLevel="1">
      <c r="A31" s="713"/>
      <c r="B31" s="714"/>
      <c r="C31" s="714"/>
      <c r="D31" s="68" t="s">
        <v>32</v>
      </c>
      <c r="E31" s="72">
        <f t="shared" si="0"/>
        <v>0</v>
      </c>
      <c r="F31" s="120">
        <v>0</v>
      </c>
    </row>
    <row r="32" spans="1:6" ht="16" outlineLevel="1">
      <c r="A32" s="713"/>
      <c r="B32" s="714"/>
      <c r="C32" s="714"/>
      <c r="D32" s="68" t="s">
        <v>33</v>
      </c>
      <c r="E32" s="72">
        <f t="shared" si="0"/>
        <v>0</v>
      </c>
      <c r="F32" s="120">
        <v>0</v>
      </c>
    </row>
    <row r="33" spans="1:6" ht="17" outlineLevel="1" thickBot="1">
      <c r="A33" s="713"/>
      <c r="B33" s="714"/>
      <c r="C33" s="714"/>
      <c r="D33" s="69" t="s">
        <v>34</v>
      </c>
      <c r="E33" s="72">
        <f t="shared" si="0"/>
        <v>0</v>
      </c>
      <c r="F33" s="122">
        <v>0</v>
      </c>
    </row>
    <row r="34" spans="1:6" ht="16" thickBot="1">
      <c r="A34" s="715" t="s">
        <v>91</v>
      </c>
      <c r="B34" s="715"/>
      <c r="C34" s="715"/>
      <c r="D34" s="76"/>
      <c r="E34" s="77">
        <f>SUM(E35:E84)</f>
        <v>105000</v>
      </c>
      <c r="F34" s="78">
        <f>SUM(F35:F84)</f>
        <v>105000</v>
      </c>
    </row>
    <row r="35" spans="1:6" ht="16" outlineLevel="1">
      <c r="A35" s="713" t="s">
        <v>96</v>
      </c>
      <c r="B35" s="714" t="s">
        <v>83</v>
      </c>
      <c r="C35" s="714">
        <v>635002</v>
      </c>
      <c r="D35" s="67" t="s">
        <v>25</v>
      </c>
      <c r="E35" s="71">
        <f t="shared" ref="E35:E66" si="1">SUM(F35:F35)</f>
        <v>0</v>
      </c>
      <c r="F35" s="118">
        <v>0</v>
      </c>
    </row>
    <row r="36" spans="1:6" ht="16" outlineLevel="1">
      <c r="A36" s="713"/>
      <c r="B36" s="714"/>
      <c r="C36" s="714"/>
      <c r="D36" s="68" t="s">
        <v>26</v>
      </c>
      <c r="E36" s="72">
        <f t="shared" si="1"/>
        <v>0</v>
      </c>
      <c r="F36" s="120">
        <v>0</v>
      </c>
    </row>
    <row r="37" spans="1:6" ht="16" outlineLevel="1">
      <c r="A37" s="713"/>
      <c r="B37" s="714"/>
      <c r="C37" s="714"/>
      <c r="D37" s="68" t="s">
        <v>27</v>
      </c>
      <c r="E37" s="72">
        <f t="shared" si="1"/>
        <v>0</v>
      </c>
      <c r="F37" s="120">
        <v>0</v>
      </c>
    </row>
    <row r="38" spans="1:6" ht="16" outlineLevel="1">
      <c r="A38" s="713"/>
      <c r="B38" s="714"/>
      <c r="C38" s="714"/>
      <c r="D38" s="68" t="s">
        <v>28</v>
      </c>
      <c r="E38" s="72">
        <f t="shared" si="1"/>
        <v>15000</v>
      </c>
      <c r="F38" s="120">
        <f>1500*10</f>
        <v>15000</v>
      </c>
    </row>
    <row r="39" spans="1:6" ht="16" outlineLevel="1">
      <c r="A39" s="713"/>
      <c r="B39" s="714"/>
      <c r="C39" s="714"/>
      <c r="D39" s="68" t="s">
        <v>29</v>
      </c>
      <c r="E39" s="72">
        <f t="shared" si="1"/>
        <v>15000</v>
      </c>
      <c r="F39" s="120">
        <f t="shared" ref="F39:F44" si="2">1500*10</f>
        <v>15000</v>
      </c>
    </row>
    <row r="40" spans="1:6" ht="16" outlineLevel="1">
      <c r="A40" s="713"/>
      <c r="B40" s="714"/>
      <c r="C40" s="714"/>
      <c r="D40" s="68" t="s">
        <v>30</v>
      </c>
      <c r="E40" s="72">
        <f t="shared" si="1"/>
        <v>15000</v>
      </c>
      <c r="F40" s="120">
        <f t="shared" si="2"/>
        <v>15000</v>
      </c>
    </row>
    <row r="41" spans="1:6" ht="16" outlineLevel="1">
      <c r="A41" s="713"/>
      <c r="B41" s="714"/>
      <c r="C41" s="714"/>
      <c r="D41" s="68" t="s">
        <v>31</v>
      </c>
      <c r="E41" s="72">
        <f t="shared" si="1"/>
        <v>15000</v>
      </c>
      <c r="F41" s="120">
        <f t="shared" si="2"/>
        <v>15000</v>
      </c>
    </row>
    <row r="42" spans="1:6" ht="16" outlineLevel="1">
      <c r="A42" s="713"/>
      <c r="B42" s="714"/>
      <c r="C42" s="714"/>
      <c r="D42" s="68" t="s">
        <v>32</v>
      </c>
      <c r="E42" s="72">
        <f t="shared" si="1"/>
        <v>15000</v>
      </c>
      <c r="F42" s="120">
        <f t="shared" si="2"/>
        <v>15000</v>
      </c>
    </row>
    <row r="43" spans="1:6" ht="16" outlineLevel="1">
      <c r="A43" s="713"/>
      <c r="B43" s="714"/>
      <c r="C43" s="714"/>
      <c r="D43" s="68" t="s">
        <v>33</v>
      </c>
      <c r="E43" s="72">
        <f t="shared" si="1"/>
        <v>15000</v>
      </c>
      <c r="F43" s="120">
        <f t="shared" si="2"/>
        <v>15000</v>
      </c>
    </row>
    <row r="44" spans="1:6" ht="17" outlineLevel="1" thickBot="1">
      <c r="A44" s="713"/>
      <c r="B44" s="714"/>
      <c r="C44" s="714"/>
      <c r="D44" s="69" t="s">
        <v>34</v>
      </c>
      <c r="E44" s="73">
        <f t="shared" si="1"/>
        <v>15000</v>
      </c>
      <c r="F44" s="120">
        <f t="shared" si="2"/>
        <v>15000</v>
      </c>
    </row>
    <row r="45" spans="1:6" ht="16" outlineLevel="1">
      <c r="A45" s="713" t="s">
        <v>97</v>
      </c>
      <c r="B45" s="713" t="s">
        <v>95</v>
      </c>
      <c r="C45" s="714">
        <v>718002</v>
      </c>
      <c r="D45" s="67" t="s">
        <v>25</v>
      </c>
      <c r="E45" s="72">
        <f t="shared" si="1"/>
        <v>0</v>
      </c>
      <c r="F45" s="118">
        <v>0</v>
      </c>
    </row>
    <row r="46" spans="1:6" ht="16" outlineLevel="1">
      <c r="A46" s="713"/>
      <c r="B46" s="714"/>
      <c r="C46" s="714"/>
      <c r="D46" s="68" t="s">
        <v>26</v>
      </c>
      <c r="E46" s="72">
        <f t="shared" si="1"/>
        <v>0</v>
      </c>
      <c r="F46" s="120">
        <v>0</v>
      </c>
    </row>
    <row r="47" spans="1:6" ht="16" outlineLevel="1">
      <c r="A47" s="713"/>
      <c r="B47" s="714"/>
      <c r="C47" s="714"/>
      <c r="D47" s="68" t="s">
        <v>27</v>
      </c>
      <c r="E47" s="72">
        <f t="shared" si="1"/>
        <v>0</v>
      </c>
      <c r="F47" s="120">
        <v>0</v>
      </c>
    </row>
    <row r="48" spans="1:6" ht="16" outlineLevel="1">
      <c r="A48" s="713"/>
      <c r="B48" s="714"/>
      <c r="C48" s="714"/>
      <c r="D48" s="68" t="s">
        <v>28</v>
      </c>
      <c r="E48" s="72">
        <f t="shared" si="1"/>
        <v>0</v>
      </c>
      <c r="F48" s="120">
        <v>0</v>
      </c>
    </row>
    <row r="49" spans="1:6" ht="16" outlineLevel="1">
      <c r="A49" s="713"/>
      <c r="B49" s="714"/>
      <c r="C49" s="714"/>
      <c r="D49" s="68" t="s">
        <v>29</v>
      </c>
      <c r="E49" s="72">
        <f t="shared" si="1"/>
        <v>0</v>
      </c>
      <c r="F49" s="120">
        <v>0</v>
      </c>
    </row>
    <row r="50" spans="1:6" ht="16" outlineLevel="1">
      <c r="A50" s="713"/>
      <c r="B50" s="714"/>
      <c r="C50" s="714"/>
      <c r="D50" s="68" t="s">
        <v>30</v>
      </c>
      <c r="E50" s="72">
        <f t="shared" si="1"/>
        <v>0</v>
      </c>
      <c r="F50" s="120">
        <v>0</v>
      </c>
    </row>
    <row r="51" spans="1:6" ht="16" outlineLevel="1">
      <c r="A51" s="713"/>
      <c r="B51" s="714"/>
      <c r="C51" s="714"/>
      <c r="D51" s="68" t="s">
        <v>31</v>
      </c>
      <c r="E51" s="72">
        <f t="shared" si="1"/>
        <v>0</v>
      </c>
      <c r="F51" s="120">
        <v>0</v>
      </c>
    </row>
    <row r="52" spans="1:6" ht="16" outlineLevel="1">
      <c r="A52" s="713"/>
      <c r="B52" s="714"/>
      <c r="C52" s="714"/>
      <c r="D52" s="68" t="s">
        <v>32</v>
      </c>
      <c r="E52" s="72">
        <f t="shared" si="1"/>
        <v>0</v>
      </c>
      <c r="F52" s="120">
        <v>0</v>
      </c>
    </row>
    <row r="53" spans="1:6" ht="16" outlineLevel="1">
      <c r="A53" s="713"/>
      <c r="B53" s="714"/>
      <c r="C53" s="714"/>
      <c r="D53" s="68" t="s">
        <v>33</v>
      </c>
      <c r="E53" s="72">
        <f t="shared" si="1"/>
        <v>0</v>
      </c>
      <c r="F53" s="120">
        <v>0</v>
      </c>
    </row>
    <row r="54" spans="1:6" ht="17" outlineLevel="1" thickBot="1">
      <c r="A54" s="713"/>
      <c r="B54" s="714"/>
      <c r="C54" s="714"/>
      <c r="D54" s="69" t="s">
        <v>34</v>
      </c>
      <c r="E54" s="73">
        <f t="shared" si="1"/>
        <v>0</v>
      </c>
      <c r="F54" s="122">
        <v>0</v>
      </c>
    </row>
    <row r="55" spans="1:6" ht="16" outlineLevel="1">
      <c r="A55" s="713" t="s">
        <v>98</v>
      </c>
      <c r="B55" s="714"/>
      <c r="C55" s="714"/>
      <c r="D55" s="67" t="s">
        <v>25</v>
      </c>
      <c r="E55" s="72">
        <f t="shared" si="1"/>
        <v>0</v>
      </c>
      <c r="F55" s="118">
        <v>0</v>
      </c>
    </row>
    <row r="56" spans="1:6" ht="16" outlineLevel="1">
      <c r="A56" s="713"/>
      <c r="B56" s="714"/>
      <c r="C56" s="714"/>
      <c r="D56" s="68" t="s">
        <v>26</v>
      </c>
      <c r="E56" s="72">
        <f t="shared" si="1"/>
        <v>0</v>
      </c>
      <c r="F56" s="120">
        <v>0</v>
      </c>
    </row>
    <row r="57" spans="1:6" ht="16" outlineLevel="1">
      <c r="A57" s="713"/>
      <c r="B57" s="714"/>
      <c r="C57" s="714"/>
      <c r="D57" s="68" t="s">
        <v>27</v>
      </c>
      <c r="E57" s="72">
        <f t="shared" si="1"/>
        <v>0</v>
      </c>
      <c r="F57" s="120">
        <v>0</v>
      </c>
    </row>
    <row r="58" spans="1:6" ht="16" outlineLevel="1">
      <c r="A58" s="713"/>
      <c r="B58" s="714"/>
      <c r="C58" s="714"/>
      <c r="D58" s="68" t="s">
        <v>28</v>
      </c>
      <c r="E58" s="72">
        <f t="shared" si="1"/>
        <v>0</v>
      </c>
      <c r="F58" s="120">
        <v>0</v>
      </c>
    </row>
    <row r="59" spans="1:6" ht="16" outlineLevel="1">
      <c r="A59" s="713"/>
      <c r="B59" s="714"/>
      <c r="C59" s="714"/>
      <c r="D59" s="68" t="s">
        <v>29</v>
      </c>
      <c r="E59" s="72">
        <f t="shared" si="1"/>
        <v>0</v>
      </c>
      <c r="F59" s="120">
        <v>0</v>
      </c>
    </row>
    <row r="60" spans="1:6" ht="16" outlineLevel="1">
      <c r="A60" s="713"/>
      <c r="B60" s="714"/>
      <c r="C60" s="714"/>
      <c r="D60" s="68" t="s">
        <v>30</v>
      </c>
      <c r="E60" s="72">
        <f t="shared" si="1"/>
        <v>0</v>
      </c>
      <c r="F60" s="120">
        <v>0</v>
      </c>
    </row>
    <row r="61" spans="1:6" ht="16" outlineLevel="1">
      <c r="A61" s="713"/>
      <c r="B61" s="714"/>
      <c r="C61" s="714"/>
      <c r="D61" s="68" t="s">
        <v>31</v>
      </c>
      <c r="E61" s="72">
        <f t="shared" si="1"/>
        <v>0</v>
      </c>
      <c r="F61" s="120">
        <v>0</v>
      </c>
    </row>
    <row r="62" spans="1:6" ht="16" outlineLevel="1">
      <c r="A62" s="713"/>
      <c r="B62" s="714"/>
      <c r="C62" s="714"/>
      <c r="D62" s="68" t="s">
        <v>32</v>
      </c>
      <c r="E62" s="72">
        <f t="shared" si="1"/>
        <v>0</v>
      </c>
      <c r="F62" s="120">
        <v>0</v>
      </c>
    </row>
    <row r="63" spans="1:6" ht="16" outlineLevel="1">
      <c r="A63" s="713"/>
      <c r="B63" s="714"/>
      <c r="C63" s="714"/>
      <c r="D63" s="68" t="s">
        <v>33</v>
      </c>
      <c r="E63" s="72">
        <f t="shared" si="1"/>
        <v>0</v>
      </c>
      <c r="F63" s="120">
        <v>0</v>
      </c>
    </row>
    <row r="64" spans="1:6" ht="17" outlineLevel="1" thickBot="1">
      <c r="A64" s="713"/>
      <c r="B64" s="714"/>
      <c r="C64" s="714"/>
      <c r="D64" s="69" t="s">
        <v>34</v>
      </c>
      <c r="E64" s="73">
        <f t="shared" si="1"/>
        <v>0</v>
      </c>
      <c r="F64" s="122">
        <v>0</v>
      </c>
    </row>
    <row r="65" spans="1:6" ht="16" outlineLevel="1">
      <c r="A65" s="713" t="s">
        <v>99</v>
      </c>
      <c r="B65" s="714"/>
      <c r="C65" s="714"/>
      <c r="D65" s="67" t="s">
        <v>25</v>
      </c>
      <c r="E65" s="72">
        <f t="shared" si="1"/>
        <v>0</v>
      </c>
      <c r="F65" s="118">
        <v>0</v>
      </c>
    </row>
    <row r="66" spans="1:6" ht="16" outlineLevel="1">
      <c r="A66" s="713"/>
      <c r="B66" s="714"/>
      <c r="C66" s="714"/>
      <c r="D66" s="68" t="s">
        <v>26</v>
      </c>
      <c r="E66" s="72">
        <f t="shared" si="1"/>
        <v>0</v>
      </c>
      <c r="F66" s="120">
        <v>0</v>
      </c>
    </row>
    <row r="67" spans="1:6" ht="16" outlineLevel="1">
      <c r="A67" s="713"/>
      <c r="B67" s="714"/>
      <c r="C67" s="714"/>
      <c r="D67" s="68" t="s">
        <v>27</v>
      </c>
      <c r="E67" s="72">
        <f t="shared" ref="E67:E84" si="3">SUM(F67:F67)</f>
        <v>0</v>
      </c>
      <c r="F67" s="120">
        <v>0</v>
      </c>
    </row>
    <row r="68" spans="1:6" ht="16" outlineLevel="1">
      <c r="A68" s="713"/>
      <c r="B68" s="714"/>
      <c r="C68" s="714"/>
      <c r="D68" s="68" t="s">
        <v>28</v>
      </c>
      <c r="E68" s="72">
        <f t="shared" si="3"/>
        <v>0</v>
      </c>
      <c r="F68" s="120">
        <v>0</v>
      </c>
    </row>
    <row r="69" spans="1:6" ht="16" outlineLevel="1">
      <c r="A69" s="713"/>
      <c r="B69" s="714"/>
      <c r="C69" s="714"/>
      <c r="D69" s="68" t="s">
        <v>29</v>
      </c>
      <c r="E69" s="72">
        <f t="shared" si="3"/>
        <v>0</v>
      </c>
      <c r="F69" s="120">
        <v>0</v>
      </c>
    </row>
    <row r="70" spans="1:6" ht="16" outlineLevel="1">
      <c r="A70" s="713"/>
      <c r="B70" s="714"/>
      <c r="C70" s="714"/>
      <c r="D70" s="68" t="s">
        <v>30</v>
      </c>
      <c r="E70" s="72">
        <f t="shared" si="3"/>
        <v>0</v>
      </c>
      <c r="F70" s="120">
        <v>0</v>
      </c>
    </row>
    <row r="71" spans="1:6" ht="16" outlineLevel="1">
      <c r="A71" s="713"/>
      <c r="B71" s="714"/>
      <c r="C71" s="714"/>
      <c r="D71" s="68" t="s">
        <v>31</v>
      </c>
      <c r="E71" s="72">
        <f t="shared" si="3"/>
        <v>0</v>
      </c>
      <c r="F71" s="120">
        <v>0</v>
      </c>
    </row>
    <row r="72" spans="1:6" ht="16" outlineLevel="1">
      <c r="A72" s="713"/>
      <c r="B72" s="714"/>
      <c r="C72" s="714"/>
      <c r="D72" s="68" t="s">
        <v>32</v>
      </c>
      <c r="E72" s="72">
        <f t="shared" si="3"/>
        <v>0</v>
      </c>
      <c r="F72" s="120">
        <v>0</v>
      </c>
    </row>
    <row r="73" spans="1:6" ht="16" outlineLevel="1">
      <c r="A73" s="713"/>
      <c r="B73" s="714"/>
      <c r="C73" s="714"/>
      <c r="D73" s="68" t="s">
        <v>33</v>
      </c>
      <c r="E73" s="72">
        <f t="shared" si="3"/>
        <v>0</v>
      </c>
      <c r="F73" s="120">
        <v>0</v>
      </c>
    </row>
    <row r="74" spans="1:6" ht="17" outlineLevel="1" thickBot="1">
      <c r="A74" s="713"/>
      <c r="B74" s="714"/>
      <c r="C74" s="714"/>
      <c r="D74" s="69" t="s">
        <v>34</v>
      </c>
      <c r="E74" s="73">
        <f t="shared" si="3"/>
        <v>0</v>
      </c>
      <c r="F74" s="122">
        <v>0</v>
      </c>
    </row>
    <row r="75" spans="1:6" ht="16" outlineLevel="1">
      <c r="A75" s="713" t="s">
        <v>94</v>
      </c>
      <c r="B75" s="714" t="s">
        <v>80</v>
      </c>
      <c r="C75" s="714">
        <v>637001</v>
      </c>
      <c r="D75" s="67" t="s">
        <v>25</v>
      </c>
      <c r="E75" s="72">
        <f t="shared" si="3"/>
        <v>0</v>
      </c>
      <c r="F75" s="118">
        <v>0</v>
      </c>
    </row>
    <row r="76" spans="1:6" ht="16" outlineLevel="1">
      <c r="A76" s="713"/>
      <c r="B76" s="714"/>
      <c r="C76" s="714"/>
      <c r="D76" s="68" t="s">
        <v>26</v>
      </c>
      <c r="E76" s="72">
        <f t="shared" si="3"/>
        <v>0</v>
      </c>
      <c r="F76" s="120">
        <v>0</v>
      </c>
    </row>
    <row r="77" spans="1:6" ht="16" outlineLevel="1">
      <c r="A77" s="713"/>
      <c r="B77" s="714"/>
      <c r="C77" s="714"/>
      <c r="D77" s="68" t="s">
        <v>27</v>
      </c>
      <c r="E77" s="72">
        <f t="shared" si="3"/>
        <v>0</v>
      </c>
      <c r="F77" s="120">
        <v>0</v>
      </c>
    </row>
    <row r="78" spans="1:6" ht="16" outlineLevel="1">
      <c r="A78" s="713"/>
      <c r="B78" s="714"/>
      <c r="C78" s="714"/>
      <c r="D78" s="68" t="s">
        <v>28</v>
      </c>
      <c r="E78" s="72">
        <f t="shared" si="3"/>
        <v>0</v>
      </c>
      <c r="F78" s="120">
        <v>0</v>
      </c>
    </row>
    <row r="79" spans="1:6" ht="16" outlineLevel="1">
      <c r="A79" s="713"/>
      <c r="B79" s="714"/>
      <c r="C79" s="714"/>
      <c r="D79" s="68" t="s">
        <v>29</v>
      </c>
      <c r="E79" s="72">
        <f t="shared" si="3"/>
        <v>0</v>
      </c>
      <c r="F79" s="120">
        <v>0</v>
      </c>
    </row>
    <row r="80" spans="1:6" ht="16" outlineLevel="1">
      <c r="A80" s="713"/>
      <c r="B80" s="714"/>
      <c r="C80" s="714"/>
      <c r="D80" s="68" t="s">
        <v>30</v>
      </c>
      <c r="E80" s="72">
        <f t="shared" si="3"/>
        <v>0</v>
      </c>
      <c r="F80" s="120">
        <v>0</v>
      </c>
    </row>
    <row r="81" spans="1:6" ht="16" outlineLevel="1">
      <c r="A81" s="713"/>
      <c r="B81" s="714"/>
      <c r="C81" s="714"/>
      <c r="D81" s="68" t="s">
        <v>31</v>
      </c>
      <c r="E81" s="72">
        <f t="shared" si="3"/>
        <v>0</v>
      </c>
      <c r="F81" s="120">
        <v>0</v>
      </c>
    </row>
    <row r="82" spans="1:6" ht="16" outlineLevel="1">
      <c r="A82" s="713"/>
      <c r="B82" s="714"/>
      <c r="C82" s="714"/>
      <c r="D82" s="68" t="s">
        <v>32</v>
      </c>
      <c r="E82" s="72">
        <f t="shared" si="3"/>
        <v>0</v>
      </c>
      <c r="F82" s="120">
        <v>0</v>
      </c>
    </row>
    <row r="83" spans="1:6" ht="16" outlineLevel="1">
      <c r="A83" s="713"/>
      <c r="B83" s="714"/>
      <c r="C83" s="714"/>
      <c r="D83" s="68" t="s">
        <v>33</v>
      </c>
      <c r="E83" s="72">
        <f t="shared" si="3"/>
        <v>0</v>
      </c>
      <c r="F83" s="120">
        <v>0</v>
      </c>
    </row>
    <row r="84" spans="1:6" ht="17" outlineLevel="1" thickBot="1">
      <c r="A84" s="713"/>
      <c r="B84" s="714"/>
      <c r="C84" s="714"/>
      <c r="D84" s="69" t="s">
        <v>34</v>
      </c>
      <c r="E84" s="73">
        <f t="shared" si="3"/>
        <v>0</v>
      </c>
      <c r="F84" s="122">
        <v>0</v>
      </c>
    </row>
  </sheetData>
  <mergeCells count="27">
    <mergeCell ref="A1:D1"/>
    <mergeCell ref="A65:A74"/>
    <mergeCell ref="B65:B74"/>
    <mergeCell ref="C65:C74"/>
    <mergeCell ref="A75:A84"/>
    <mergeCell ref="B75:B84"/>
    <mergeCell ref="C75:C84"/>
    <mergeCell ref="A45:A54"/>
    <mergeCell ref="B45:B54"/>
    <mergeCell ref="C45:C54"/>
    <mergeCell ref="A55:A64"/>
    <mergeCell ref="B55:B64"/>
    <mergeCell ref="C55:C64"/>
    <mergeCell ref="A35:A44"/>
    <mergeCell ref="B35:B44"/>
    <mergeCell ref="C35:C44"/>
    <mergeCell ref="A3:C3"/>
    <mergeCell ref="A24:A33"/>
    <mergeCell ref="B24:B33"/>
    <mergeCell ref="C24:C33"/>
    <mergeCell ref="A34:C34"/>
    <mergeCell ref="A4:A13"/>
    <mergeCell ref="B4:B13"/>
    <mergeCell ref="C4:C13"/>
    <mergeCell ref="A14:A23"/>
    <mergeCell ref="B14:B23"/>
    <mergeCell ref="C14:C23"/>
  </mergeCells>
  <pageMargins left="0.7" right="0.7" top="0.75" bottom="0.75" header="0.3" footer="0.3"/>
  <pageSetup paperSize="9" scale="34" orientation="portrait" r:id="rId1"/>
  <ignoredErrors>
    <ignoredError sqref="E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CC"/>
  </sheetPr>
  <dimension ref="A1:AU33"/>
  <sheetViews>
    <sheetView view="pageBreakPreview" topLeftCell="E1" zoomScaleNormal="100" zoomScaleSheetLayoutView="100" workbookViewId="0">
      <selection activeCell="T26" sqref="T26"/>
    </sheetView>
  </sheetViews>
  <sheetFormatPr baseColWidth="10" defaultColWidth="8.6640625" defaultRowHeight="12"/>
  <cols>
    <col min="1" max="1" width="57.83203125" style="137" bestFit="1" customWidth="1"/>
    <col min="2" max="2" width="4.33203125" style="137" bestFit="1" customWidth="1"/>
    <col min="3" max="3" width="3.33203125" style="137" customWidth="1"/>
    <col min="4" max="38" width="3.6640625" style="137" customWidth="1"/>
    <col min="39" max="44" width="8" style="137" customWidth="1"/>
    <col min="45" max="45" width="10" style="137" customWidth="1"/>
    <col min="46" max="46" width="10.6640625" style="138" customWidth="1"/>
    <col min="47" max="47" width="37.33203125" style="137" customWidth="1"/>
    <col min="48" max="16384" width="8.6640625" style="137"/>
  </cols>
  <sheetData>
    <row r="1" spans="1:47" ht="13" thickBot="1"/>
    <row r="2" spans="1:47" ht="26">
      <c r="A2" s="282" t="s">
        <v>123</v>
      </c>
      <c r="B2" s="283" t="s">
        <v>1</v>
      </c>
      <c r="C2" s="273" t="s">
        <v>124</v>
      </c>
      <c r="D2" s="274" t="s">
        <v>125</v>
      </c>
      <c r="E2" s="274" t="s">
        <v>126</v>
      </c>
      <c r="F2" s="274" t="s">
        <v>127</v>
      </c>
      <c r="G2" s="274" t="s">
        <v>128</v>
      </c>
      <c r="H2" s="274" t="s">
        <v>129</v>
      </c>
      <c r="I2" s="274" t="s">
        <v>130</v>
      </c>
      <c r="J2" s="274" t="s">
        <v>131</v>
      </c>
      <c r="K2" s="274" t="s">
        <v>132</v>
      </c>
      <c r="L2" s="274" t="s">
        <v>133</v>
      </c>
      <c r="M2" s="274" t="s">
        <v>134</v>
      </c>
      <c r="N2" s="275" t="s">
        <v>135</v>
      </c>
      <c r="O2" s="274" t="s">
        <v>136</v>
      </c>
      <c r="P2" s="274" t="s">
        <v>137</v>
      </c>
      <c r="Q2" s="274" t="s">
        <v>138</v>
      </c>
      <c r="R2" s="274" t="s">
        <v>139</v>
      </c>
      <c r="S2" s="274" t="s">
        <v>140</v>
      </c>
      <c r="T2" s="274" t="s">
        <v>141</v>
      </c>
      <c r="U2" s="274" t="s">
        <v>142</v>
      </c>
      <c r="V2" s="274" t="s">
        <v>143</v>
      </c>
      <c r="W2" s="274" t="s">
        <v>144</v>
      </c>
      <c r="X2" s="274" t="s">
        <v>145</v>
      </c>
      <c r="Y2" s="274" t="s">
        <v>362</v>
      </c>
      <c r="Z2" s="275" t="s">
        <v>146</v>
      </c>
      <c r="AA2" s="274" t="s">
        <v>391</v>
      </c>
      <c r="AB2" s="274" t="s">
        <v>392</v>
      </c>
      <c r="AC2" s="274" t="s">
        <v>393</v>
      </c>
      <c r="AD2" s="274" t="s">
        <v>394</v>
      </c>
      <c r="AE2" s="274" t="s">
        <v>395</v>
      </c>
      <c r="AF2" s="274" t="s">
        <v>396</v>
      </c>
      <c r="AG2" s="274" t="s">
        <v>397</v>
      </c>
      <c r="AH2" s="274" t="s">
        <v>398</v>
      </c>
      <c r="AI2" s="274" t="s">
        <v>399</v>
      </c>
      <c r="AJ2" s="274" t="s">
        <v>400</v>
      </c>
      <c r="AK2" s="274" t="s">
        <v>401</v>
      </c>
      <c r="AL2" s="275" t="s">
        <v>402</v>
      </c>
      <c r="AM2" s="259" t="s">
        <v>147</v>
      </c>
      <c r="AN2" s="260" t="s">
        <v>148</v>
      </c>
      <c r="AO2" s="260" t="s">
        <v>149</v>
      </c>
      <c r="AP2" s="260" t="s">
        <v>150</v>
      </c>
      <c r="AQ2" s="260" t="s">
        <v>151</v>
      </c>
      <c r="AR2" s="260" t="s">
        <v>152</v>
      </c>
      <c r="AS2" s="259" t="s">
        <v>153</v>
      </c>
      <c r="AT2" s="252" t="s">
        <v>154</v>
      </c>
      <c r="AU2" s="139"/>
    </row>
    <row r="3" spans="1:47">
      <c r="A3" s="140"/>
      <c r="B3" s="141"/>
      <c r="C3" s="276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8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8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8"/>
      <c r="AM3" s="261"/>
      <c r="AN3" s="262"/>
      <c r="AO3" s="262"/>
      <c r="AP3" s="262"/>
      <c r="AQ3" s="262"/>
      <c r="AR3" s="262"/>
      <c r="AS3" s="261"/>
      <c r="AT3" s="262"/>
      <c r="AU3" s="603"/>
    </row>
    <row r="4" spans="1:47">
      <c r="A4" s="284" t="s">
        <v>388</v>
      </c>
      <c r="B4" s="144"/>
      <c r="C4" s="315" t="s">
        <v>265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9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9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9"/>
      <c r="AM4" s="263"/>
      <c r="AN4" s="264"/>
      <c r="AO4" s="264"/>
      <c r="AP4" s="264"/>
      <c r="AQ4" s="264"/>
      <c r="AR4" s="264"/>
      <c r="AS4" s="538"/>
      <c r="AT4" s="606"/>
      <c r="AU4" s="604"/>
    </row>
    <row r="5" spans="1:47" ht="13">
      <c r="A5" s="285" t="s">
        <v>364</v>
      </c>
      <c r="B5" s="144"/>
      <c r="C5" s="267">
        <v>1</v>
      </c>
      <c r="D5" s="268">
        <v>1</v>
      </c>
      <c r="E5" s="268">
        <v>1</v>
      </c>
      <c r="F5" s="268">
        <v>1</v>
      </c>
      <c r="G5" s="268">
        <v>1</v>
      </c>
      <c r="H5" s="268"/>
      <c r="I5" s="268"/>
      <c r="J5" s="268"/>
      <c r="K5" s="268"/>
      <c r="L5" s="268"/>
      <c r="M5" s="268"/>
      <c r="N5" s="269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9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9"/>
      <c r="AM5" s="541">
        <f>COUNTA(C5:AL5)*21</f>
        <v>105</v>
      </c>
      <c r="AN5" s="542">
        <f>COUNTA(C5:AL5)*21</f>
        <v>105</v>
      </c>
      <c r="AO5" s="280">
        <v>2.7</v>
      </c>
      <c r="AP5" s="280">
        <v>0.69</v>
      </c>
      <c r="AQ5" s="280">
        <v>120</v>
      </c>
      <c r="AR5" s="612">
        <v>826.23188405797111</v>
      </c>
      <c r="AS5" s="539">
        <f t="shared" ref="AS5:AT8" si="0">AM5*AO5*AQ5</f>
        <v>34020</v>
      </c>
      <c r="AT5" s="540">
        <f t="shared" si="0"/>
        <v>59860.5</v>
      </c>
      <c r="AU5" s="604"/>
    </row>
    <row r="6" spans="1:47" ht="13">
      <c r="A6" s="285" t="s">
        <v>366</v>
      </c>
      <c r="B6" s="144"/>
      <c r="C6" s="267"/>
      <c r="D6" s="268"/>
      <c r="E6" s="268"/>
      <c r="F6" s="268"/>
      <c r="G6" s="268">
        <v>1</v>
      </c>
      <c r="H6" s="268">
        <v>1</v>
      </c>
      <c r="I6" s="268">
        <v>1</v>
      </c>
      <c r="J6" s="268">
        <v>1</v>
      </c>
      <c r="K6" s="268">
        <v>1</v>
      </c>
      <c r="L6" s="268"/>
      <c r="M6" s="268"/>
      <c r="N6" s="269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9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9"/>
      <c r="AM6" s="541">
        <f t="shared" ref="AM6:AM8" si="1">COUNTA(C6:AL6)*21</f>
        <v>105</v>
      </c>
      <c r="AN6" s="542">
        <f t="shared" ref="AN6:AN29" si="2">COUNTA(C6:AL6)*21</f>
        <v>105</v>
      </c>
      <c r="AO6" s="280">
        <v>2</v>
      </c>
      <c r="AP6" s="280">
        <v>0.62</v>
      </c>
      <c r="AQ6" s="280">
        <v>120</v>
      </c>
      <c r="AR6" s="612">
        <v>761.29032258064501</v>
      </c>
      <c r="AS6" s="539">
        <f t="shared" si="0"/>
        <v>25200</v>
      </c>
      <c r="AT6" s="540">
        <f t="shared" si="0"/>
        <v>49559.999999999985</v>
      </c>
      <c r="AU6" s="604"/>
    </row>
    <row r="7" spans="1:47" ht="13">
      <c r="A7" s="285" t="s">
        <v>367</v>
      </c>
      <c r="B7" s="144"/>
      <c r="C7" s="267"/>
      <c r="D7" s="268"/>
      <c r="E7" s="268"/>
      <c r="F7" s="268"/>
      <c r="G7" s="268"/>
      <c r="H7" s="268"/>
      <c r="I7" s="268"/>
      <c r="J7" s="268">
        <v>1</v>
      </c>
      <c r="K7" s="268">
        <v>1</v>
      </c>
      <c r="L7" s="268">
        <v>1</v>
      </c>
      <c r="M7" s="268">
        <v>1</v>
      </c>
      <c r="N7" s="269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9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9"/>
      <c r="AM7" s="541">
        <f t="shared" si="1"/>
        <v>84</v>
      </c>
      <c r="AN7" s="542">
        <f t="shared" si="2"/>
        <v>84</v>
      </c>
      <c r="AO7" s="280">
        <v>2.5</v>
      </c>
      <c r="AP7" s="280">
        <v>0.23</v>
      </c>
      <c r="AQ7" s="280">
        <v>120</v>
      </c>
      <c r="AR7" s="612">
        <v>660.43478260869563</v>
      </c>
      <c r="AS7" s="539">
        <f t="shared" si="0"/>
        <v>25200</v>
      </c>
      <c r="AT7" s="540">
        <f t="shared" si="0"/>
        <v>12759.6</v>
      </c>
      <c r="AU7" s="604"/>
    </row>
    <row r="8" spans="1:47" ht="13.5" customHeight="1">
      <c r="A8" s="285" t="s">
        <v>371</v>
      </c>
      <c r="B8" s="144"/>
      <c r="C8" s="267"/>
      <c r="D8" s="268"/>
      <c r="E8" s="268"/>
      <c r="F8" s="268"/>
      <c r="G8" s="268"/>
      <c r="H8" s="268"/>
      <c r="I8" s="268"/>
      <c r="J8" s="268"/>
      <c r="K8" s="268"/>
      <c r="L8" s="268"/>
      <c r="M8" s="268">
        <v>1</v>
      </c>
      <c r="N8" s="269">
        <v>1</v>
      </c>
      <c r="O8" s="268">
        <v>1</v>
      </c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9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9"/>
      <c r="AM8" s="541">
        <f t="shared" si="1"/>
        <v>63</v>
      </c>
      <c r="AN8" s="542">
        <f t="shared" si="2"/>
        <v>63</v>
      </c>
      <c r="AO8" s="280">
        <v>1.5</v>
      </c>
      <c r="AP8" s="280">
        <v>0.26</v>
      </c>
      <c r="AQ8" s="280">
        <v>120</v>
      </c>
      <c r="AR8" s="612">
        <v>785.38461538461547</v>
      </c>
      <c r="AS8" s="539">
        <f t="shared" si="0"/>
        <v>11340</v>
      </c>
      <c r="AT8" s="540">
        <f t="shared" si="0"/>
        <v>12864.6</v>
      </c>
      <c r="AU8" s="607">
        <f>SUM(AS5:AT8)</f>
        <v>230804.7</v>
      </c>
    </row>
    <row r="9" spans="1:47">
      <c r="A9" s="284" t="s">
        <v>363</v>
      </c>
      <c r="B9" s="598"/>
      <c r="C9" s="599"/>
      <c r="D9" s="600"/>
      <c r="E9" s="600"/>
      <c r="F9" s="600"/>
      <c r="G9" s="600"/>
      <c r="H9" s="600"/>
      <c r="I9" s="600"/>
      <c r="J9" s="600"/>
      <c r="K9" s="600"/>
      <c r="L9" s="600"/>
      <c r="M9" s="600"/>
      <c r="N9" s="601"/>
      <c r="O9" s="600"/>
      <c r="P9" s="600"/>
      <c r="Q9" s="600"/>
      <c r="R9" s="600"/>
      <c r="S9" s="600"/>
      <c r="T9" s="600"/>
      <c r="U9" s="600"/>
      <c r="V9" s="600"/>
      <c r="W9" s="600"/>
      <c r="X9" s="600"/>
      <c r="Y9" s="600"/>
      <c r="Z9" s="601"/>
      <c r="AA9" s="600"/>
      <c r="AB9" s="600"/>
      <c r="AC9" s="600"/>
      <c r="AD9" s="600"/>
      <c r="AE9" s="600"/>
      <c r="AF9" s="600"/>
      <c r="AG9" s="600"/>
      <c r="AH9" s="600"/>
      <c r="AI9" s="600"/>
      <c r="AJ9" s="600"/>
      <c r="AK9" s="600"/>
      <c r="AL9" s="601"/>
      <c r="AM9" s="486"/>
      <c r="AN9" s="487"/>
      <c r="AO9" s="265"/>
      <c r="AP9" s="265"/>
      <c r="AQ9" s="265"/>
      <c r="AR9" s="485"/>
      <c r="AS9" s="539"/>
      <c r="AT9" s="540"/>
      <c r="AU9" s="604"/>
    </row>
    <row r="10" spans="1:47" ht="13">
      <c r="A10" s="285" t="s">
        <v>364</v>
      </c>
      <c r="B10" s="144"/>
      <c r="C10" s="267">
        <v>1</v>
      </c>
      <c r="D10" s="268">
        <v>1</v>
      </c>
      <c r="E10" s="268">
        <v>1</v>
      </c>
      <c r="F10" s="268">
        <v>1</v>
      </c>
      <c r="G10" s="268">
        <v>1</v>
      </c>
      <c r="H10" s="268"/>
      <c r="I10" s="268"/>
      <c r="J10" s="268"/>
      <c r="K10" s="268"/>
      <c r="L10" s="268"/>
      <c r="M10" s="268"/>
      <c r="N10" s="269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9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9"/>
      <c r="AM10" s="541">
        <f>COUNTA(C10:AL10)*21</f>
        <v>105</v>
      </c>
      <c r="AN10" s="542">
        <f t="shared" si="2"/>
        <v>105</v>
      </c>
      <c r="AO10" s="280">
        <v>2.7</v>
      </c>
      <c r="AP10" s="280">
        <v>0.69</v>
      </c>
      <c r="AQ10" s="280">
        <v>120</v>
      </c>
      <c r="AR10" s="612">
        <v>826.23188405797111</v>
      </c>
      <c r="AS10" s="539">
        <f>AM10*AO10*AQ10</f>
        <v>34020</v>
      </c>
      <c r="AT10" s="540">
        <f>AN10*AP10*AR10</f>
        <v>59860.5</v>
      </c>
      <c r="AU10" s="604"/>
    </row>
    <row r="11" spans="1:47" ht="13">
      <c r="A11" s="285" t="s">
        <v>366</v>
      </c>
      <c r="B11" s="144"/>
      <c r="C11" s="267"/>
      <c r="D11" s="268"/>
      <c r="E11" s="268"/>
      <c r="F11" s="268"/>
      <c r="G11" s="268">
        <v>1</v>
      </c>
      <c r="H11" s="268">
        <v>1</v>
      </c>
      <c r="I11" s="268">
        <v>1</v>
      </c>
      <c r="J11" s="268">
        <v>1</v>
      </c>
      <c r="K11" s="268">
        <v>1</v>
      </c>
      <c r="L11" s="268">
        <v>1</v>
      </c>
      <c r="M11" s="268"/>
      <c r="N11" s="269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9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9"/>
      <c r="AM11" s="541">
        <f t="shared" ref="AM11:AM29" si="3">COUNTA(C11:AL11)*21</f>
        <v>126</v>
      </c>
      <c r="AN11" s="542">
        <f t="shared" si="2"/>
        <v>126</v>
      </c>
      <c r="AO11" s="280">
        <v>2</v>
      </c>
      <c r="AP11" s="280">
        <v>0.87</v>
      </c>
      <c r="AQ11" s="280">
        <v>120</v>
      </c>
      <c r="AR11" s="612">
        <v>764.36781609195407</v>
      </c>
      <c r="AS11" s="539">
        <f t="shared" ref="AS11:AS14" si="4">AM11*AO11*AQ11</f>
        <v>30240</v>
      </c>
      <c r="AT11" s="540">
        <f t="shared" ref="AT11:AT14" si="5">AN11*AP11*AR11</f>
        <v>83790.000000000015</v>
      </c>
      <c r="AU11" s="605"/>
    </row>
    <row r="12" spans="1:47" ht="13">
      <c r="A12" s="285" t="s">
        <v>365</v>
      </c>
      <c r="B12" s="144"/>
      <c r="C12" s="267"/>
      <c r="D12" s="268"/>
      <c r="E12" s="268"/>
      <c r="F12" s="268"/>
      <c r="G12" s="268"/>
      <c r="H12" s="268"/>
      <c r="I12" s="268"/>
      <c r="J12" s="268">
        <v>1</v>
      </c>
      <c r="K12" s="268">
        <v>1</v>
      </c>
      <c r="L12" s="268">
        <v>1</v>
      </c>
      <c r="M12" s="268">
        <v>1</v>
      </c>
      <c r="N12" s="269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9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9"/>
      <c r="AM12" s="541">
        <f t="shared" si="3"/>
        <v>84</v>
      </c>
      <c r="AN12" s="542">
        <f t="shared" si="2"/>
        <v>84</v>
      </c>
      <c r="AO12" s="280">
        <v>2</v>
      </c>
      <c r="AP12" s="280">
        <v>0.82</v>
      </c>
      <c r="AQ12" s="280">
        <v>120</v>
      </c>
      <c r="AR12" s="612">
        <v>755.48780487804879</v>
      </c>
      <c r="AS12" s="539">
        <f t="shared" si="4"/>
        <v>20160</v>
      </c>
      <c r="AT12" s="540">
        <f t="shared" si="5"/>
        <v>52038</v>
      </c>
      <c r="AU12" s="145"/>
    </row>
    <row r="13" spans="1:47" ht="13">
      <c r="A13" s="285" t="s">
        <v>367</v>
      </c>
      <c r="B13" s="144"/>
      <c r="C13" s="267"/>
      <c r="D13" s="268"/>
      <c r="E13" s="268"/>
      <c r="F13" s="268"/>
      <c r="G13" s="268"/>
      <c r="H13" s="268"/>
      <c r="I13" s="268"/>
      <c r="J13" s="268"/>
      <c r="K13" s="268">
        <v>1</v>
      </c>
      <c r="L13" s="268">
        <v>1</v>
      </c>
      <c r="M13" s="268">
        <v>1</v>
      </c>
      <c r="N13" s="269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9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9"/>
      <c r="AM13" s="541">
        <f t="shared" si="3"/>
        <v>63</v>
      </c>
      <c r="AN13" s="542">
        <f t="shared" si="2"/>
        <v>63</v>
      </c>
      <c r="AO13" s="280">
        <v>2.5</v>
      </c>
      <c r="AP13" s="280">
        <v>0.28000000000000003</v>
      </c>
      <c r="AQ13" s="280">
        <v>120</v>
      </c>
      <c r="AR13" s="612">
        <v>644.28571428571433</v>
      </c>
      <c r="AS13" s="539">
        <f t="shared" si="4"/>
        <v>18900</v>
      </c>
      <c r="AT13" s="540">
        <f t="shared" si="5"/>
        <v>11365.2</v>
      </c>
      <c r="AU13" s="145"/>
    </row>
    <row r="14" spans="1:47" ht="13">
      <c r="A14" s="285" t="s">
        <v>371</v>
      </c>
      <c r="B14" s="144"/>
      <c r="C14" s="267"/>
      <c r="D14" s="268"/>
      <c r="E14" s="268"/>
      <c r="F14" s="268"/>
      <c r="G14" s="268"/>
      <c r="H14" s="268"/>
      <c r="I14" s="268"/>
      <c r="J14" s="268"/>
      <c r="K14" s="268"/>
      <c r="L14" s="268"/>
      <c r="M14" s="268">
        <v>1</v>
      </c>
      <c r="N14" s="269">
        <v>1</v>
      </c>
      <c r="O14" s="268">
        <v>1</v>
      </c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9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9"/>
      <c r="AM14" s="541">
        <f t="shared" si="3"/>
        <v>63</v>
      </c>
      <c r="AN14" s="542">
        <f t="shared" si="2"/>
        <v>63</v>
      </c>
      <c r="AO14" s="280">
        <v>2</v>
      </c>
      <c r="AP14" s="280">
        <v>0.26</v>
      </c>
      <c r="AQ14" s="280">
        <v>120</v>
      </c>
      <c r="AR14" s="612">
        <v>785.38461538461547</v>
      </c>
      <c r="AS14" s="539">
        <f t="shared" si="4"/>
        <v>15120</v>
      </c>
      <c r="AT14" s="540">
        <f t="shared" si="5"/>
        <v>12864.6</v>
      </c>
      <c r="AU14" s="608">
        <f>SUM(AS10:AT14)</f>
        <v>338358.3</v>
      </c>
    </row>
    <row r="15" spans="1:47">
      <c r="A15" s="284" t="s">
        <v>389</v>
      </c>
      <c r="B15" s="598"/>
      <c r="C15" s="599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1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601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  <c r="AK15" s="600"/>
      <c r="AL15" s="601"/>
      <c r="AM15" s="486"/>
      <c r="AN15" s="487"/>
      <c r="AO15" s="265"/>
      <c r="AP15" s="265"/>
      <c r="AQ15" s="265"/>
      <c r="AR15" s="485"/>
      <c r="AS15" s="539"/>
      <c r="AT15" s="540"/>
      <c r="AU15" s="145"/>
    </row>
    <row r="16" spans="1:47" ht="13">
      <c r="A16" s="285" t="s">
        <v>364</v>
      </c>
      <c r="B16" s="144"/>
      <c r="C16" s="267">
        <v>1</v>
      </c>
      <c r="D16" s="268">
        <v>1</v>
      </c>
      <c r="E16" s="268">
        <v>1</v>
      </c>
      <c r="F16" s="268">
        <v>1</v>
      </c>
      <c r="G16" s="268">
        <v>1</v>
      </c>
      <c r="H16" s="268"/>
      <c r="I16" s="268"/>
      <c r="J16" s="268"/>
      <c r="K16" s="268"/>
      <c r="L16" s="268"/>
      <c r="M16" s="268"/>
      <c r="N16" s="269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9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9"/>
      <c r="AM16" s="541">
        <f t="shared" si="3"/>
        <v>105</v>
      </c>
      <c r="AN16" s="542">
        <f t="shared" si="2"/>
        <v>105</v>
      </c>
      <c r="AO16" s="280">
        <v>2.7</v>
      </c>
      <c r="AP16" s="280">
        <v>0.84</v>
      </c>
      <c r="AQ16" s="280">
        <v>120</v>
      </c>
      <c r="AR16" s="612">
        <v>822.14285714285711</v>
      </c>
      <c r="AS16" s="539">
        <f t="shared" ref="AS16:AT21" si="6">AM16*AO16*AQ16</f>
        <v>34020</v>
      </c>
      <c r="AT16" s="540">
        <f t="shared" si="6"/>
        <v>72513</v>
      </c>
      <c r="AU16" s="145"/>
    </row>
    <row r="17" spans="1:47" ht="13">
      <c r="A17" s="285" t="s">
        <v>366</v>
      </c>
      <c r="B17" s="144"/>
      <c r="C17" s="267"/>
      <c r="D17" s="268"/>
      <c r="E17" s="268"/>
      <c r="F17" s="268"/>
      <c r="G17" s="268">
        <v>1</v>
      </c>
      <c r="H17" s="268">
        <v>1</v>
      </c>
      <c r="I17" s="268">
        <v>1</v>
      </c>
      <c r="J17" s="268">
        <v>1</v>
      </c>
      <c r="K17" s="268">
        <v>1</v>
      </c>
      <c r="L17" s="268"/>
      <c r="M17" s="268"/>
      <c r="N17" s="269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9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9"/>
      <c r="AM17" s="541">
        <f t="shared" si="3"/>
        <v>105</v>
      </c>
      <c r="AN17" s="542">
        <f t="shared" si="2"/>
        <v>105</v>
      </c>
      <c r="AO17" s="280">
        <v>2</v>
      </c>
      <c r="AP17" s="280">
        <v>0.92</v>
      </c>
      <c r="AQ17" s="280">
        <v>120</v>
      </c>
      <c r="AR17" s="612">
        <v>754.89130434782601</v>
      </c>
      <c r="AS17" s="539">
        <f t="shared" si="6"/>
        <v>25200</v>
      </c>
      <c r="AT17" s="540">
        <f t="shared" si="6"/>
        <v>72922.5</v>
      </c>
      <c r="AU17" s="145"/>
    </row>
    <row r="18" spans="1:47" ht="13">
      <c r="A18" s="285" t="s">
        <v>367</v>
      </c>
      <c r="B18" s="144"/>
      <c r="C18" s="267"/>
      <c r="D18" s="268"/>
      <c r="E18" s="268"/>
      <c r="F18" s="268"/>
      <c r="G18" s="268"/>
      <c r="H18" s="268"/>
      <c r="I18" s="268"/>
      <c r="J18" s="268">
        <v>1</v>
      </c>
      <c r="K18" s="268">
        <v>1</v>
      </c>
      <c r="L18" s="268">
        <v>1</v>
      </c>
      <c r="M18" s="268">
        <v>1</v>
      </c>
      <c r="N18" s="269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9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9"/>
      <c r="AM18" s="541">
        <f t="shared" si="3"/>
        <v>84</v>
      </c>
      <c r="AN18" s="542">
        <f t="shared" si="2"/>
        <v>84</v>
      </c>
      <c r="AO18" s="280">
        <v>2.5</v>
      </c>
      <c r="AP18" s="280">
        <v>0.44</v>
      </c>
      <c r="AQ18" s="280">
        <v>120</v>
      </c>
      <c r="AR18" s="612">
        <v>650.22727272727275</v>
      </c>
      <c r="AS18" s="539">
        <f t="shared" si="6"/>
        <v>25200</v>
      </c>
      <c r="AT18" s="540">
        <f t="shared" si="6"/>
        <v>24032.400000000001</v>
      </c>
      <c r="AU18" s="145"/>
    </row>
    <row r="19" spans="1:47" ht="13">
      <c r="A19" s="285" t="s">
        <v>371</v>
      </c>
      <c r="B19" s="144"/>
      <c r="C19" s="267"/>
      <c r="D19" s="268"/>
      <c r="E19" s="268"/>
      <c r="F19" s="268"/>
      <c r="G19" s="268"/>
      <c r="H19" s="268"/>
      <c r="I19" s="268"/>
      <c r="J19" s="268"/>
      <c r="K19" s="268"/>
      <c r="L19" s="268"/>
      <c r="M19" s="268">
        <v>1</v>
      </c>
      <c r="N19" s="269">
        <v>1</v>
      </c>
      <c r="O19" s="268">
        <v>1</v>
      </c>
      <c r="P19" s="268">
        <v>1</v>
      </c>
      <c r="Q19" s="268"/>
      <c r="R19" s="268"/>
      <c r="S19" s="268"/>
      <c r="T19" s="268"/>
      <c r="U19" s="268"/>
      <c r="V19" s="268"/>
      <c r="W19" s="268"/>
      <c r="X19" s="268"/>
      <c r="Y19" s="268"/>
      <c r="Z19" s="269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9"/>
      <c r="AM19" s="541">
        <f t="shared" si="3"/>
        <v>84</v>
      </c>
      <c r="AN19" s="542">
        <f t="shared" si="2"/>
        <v>84</v>
      </c>
      <c r="AO19" s="280">
        <v>2</v>
      </c>
      <c r="AP19" s="280">
        <v>0.32</v>
      </c>
      <c r="AQ19" s="280">
        <v>120</v>
      </c>
      <c r="AR19" s="612">
        <v>758.4375</v>
      </c>
      <c r="AS19" s="539">
        <f t="shared" si="6"/>
        <v>20160</v>
      </c>
      <c r="AT19" s="540">
        <f t="shared" si="6"/>
        <v>20386.8</v>
      </c>
      <c r="AU19" s="608"/>
    </row>
    <row r="20" spans="1:47" ht="13">
      <c r="A20" s="285" t="s">
        <v>403</v>
      </c>
      <c r="B20" s="144"/>
      <c r="C20" s="267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9"/>
      <c r="O20" s="268"/>
      <c r="P20" s="268"/>
      <c r="Q20" s="268"/>
      <c r="R20" s="268"/>
      <c r="S20" s="268"/>
      <c r="T20" s="268"/>
      <c r="U20" s="268"/>
      <c r="V20" s="268"/>
      <c r="W20" s="268"/>
      <c r="X20" s="268">
        <v>1</v>
      </c>
      <c r="Y20" s="268">
        <v>1</v>
      </c>
      <c r="Z20" s="268">
        <v>1</v>
      </c>
      <c r="AA20" s="268">
        <v>1</v>
      </c>
      <c r="AB20" s="268">
        <v>1</v>
      </c>
      <c r="AC20" s="268">
        <v>1</v>
      </c>
      <c r="AD20" s="268">
        <v>1</v>
      </c>
      <c r="AE20" s="268">
        <v>1</v>
      </c>
      <c r="AF20" s="268">
        <v>1</v>
      </c>
      <c r="AG20" s="268">
        <v>1</v>
      </c>
      <c r="AH20" s="268">
        <v>1</v>
      </c>
      <c r="AI20" s="268">
        <v>1</v>
      </c>
      <c r="AJ20" s="268">
        <v>1</v>
      </c>
      <c r="AK20" s="268">
        <v>1</v>
      </c>
      <c r="AL20" s="268">
        <v>1</v>
      </c>
      <c r="AM20" s="541">
        <f t="shared" si="3"/>
        <v>315</v>
      </c>
      <c r="AN20" s="542">
        <f t="shared" si="2"/>
        <v>315</v>
      </c>
      <c r="AO20" s="280">
        <v>0.8</v>
      </c>
      <c r="AP20" s="280">
        <v>1.2</v>
      </c>
      <c r="AQ20" s="280">
        <v>120</v>
      </c>
      <c r="AR20" s="612">
        <v>570</v>
      </c>
      <c r="AS20" s="539">
        <f t="shared" si="6"/>
        <v>30240</v>
      </c>
      <c r="AT20" s="540">
        <f t="shared" si="6"/>
        <v>215460</v>
      </c>
      <c r="AU20" s="608"/>
    </row>
    <row r="21" spans="1:47" ht="13">
      <c r="A21" s="285" t="s">
        <v>409</v>
      </c>
      <c r="B21" s="144"/>
      <c r="C21" s="267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9"/>
      <c r="O21" s="268"/>
      <c r="P21" s="268"/>
      <c r="Q21" s="268"/>
      <c r="R21" s="268"/>
      <c r="S21" s="268"/>
      <c r="T21" s="268"/>
      <c r="U21" s="268"/>
      <c r="V21" s="268"/>
      <c r="W21" s="268"/>
      <c r="X21" s="268">
        <v>1</v>
      </c>
      <c r="Y21" s="268">
        <v>1</v>
      </c>
      <c r="Z21" s="268">
        <v>1</v>
      </c>
      <c r="AA21" s="268">
        <v>1</v>
      </c>
      <c r="AB21" s="268">
        <v>1</v>
      </c>
      <c r="AC21" s="268">
        <v>1</v>
      </c>
      <c r="AD21" s="268">
        <v>1</v>
      </c>
      <c r="AE21" s="268">
        <v>1</v>
      </c>
      <c r="AF21" s="268">
        <v>1</v>
      </c>
      <c r="AG21" s="268">
        <v>1</v>
      </c>
      <c r="AH21" s="268">
        <v>1</v>
      </c>
      <c r="AI21" s="268">
        <v>1</v>
      </c>
      <c r="AJ21" s="268">
        <v>1</v>
      </c>
      <c r="AK21" s="268">
        <v>1</v>
      </c>
      <c r="AL21" s="268">
        <v>1</v>
      </c>
      <c r="AM21" s="541">
        <f t="shared" si="3"/>
        <v>315</v>
      </c>
      <c r="AN21" s="542">
        <f t="shared" si="2"/>
        <v>315</v>
      </c>
      <c r="AO21" s="280">
        <v>0.8</v>
      </c>
      <c r="AP21" s="280">
        <v>1.2</v>
      </c>
      <c r="AQ21" s="280">
        <v>120</v>
      </c>
      <c r="AR21" s="612">
        <v>570</v>
      </c>
      <c r="AS21" s="539">
        <f t="shared" si="6"/>
        <v>30240</v>
      </c>
      <c r="AT21" s="540">
        <f t="shared" si="6"/>
        <v>215460</v>
      </c>
      <c r="AU21" s="608">
        <f>SUM(AS16:AT21)</f>
        <v>785834.7</v>
      </c>
    </row>
    <row r="22" spans="1:47">
      <c r="A22" s="284" t="s">
        <v>390</v>
      </c>
      <c r="B22" s="598"/>
      <c r="C22" s="599"/>
      <c r="D22" s="600"/>
      <c r="E22" s="600"/>
      <c r="F22" s="600"/>
      <c r="G22" s="600"/>
      <c r="H22" s="600"/>
      <c r="I22" s="600"/>
      <c r="J22" s="600"/>
      <c r="K22" s="600"/>
      <c r="L22" s="600"/>
      <c r="M22" s="600"/>
      <c r="N22" s="601"/>
      <c r="O22" s="600"/>
      <c r="P22" s="600"/>
      <c r="Q22" s="600"/>
      <c r="R22" s="600"/>
      <c r="S22" s="600"/>
      <c r="T22" s="600"/>
      <c r="U22" s="600"/>
      <c r="V22" s="600"/>
      <c r="W22" s="600"/>
      <c r="X22" s="600"/>
      <c r="Y22" s="600"/>
      <c r="Z22" s="601"/>
      <c r="AA22" s="600"/>
      <c r="AB22" s="600"/>
      <c r="AC22" s="600"/>
      <c r="AD22" s="600"/>
      <c r="AE22" s="600"/>
      <c r="AF22" s="600"/>
      <c r="AG22" s="600"/>
      <c r="AH22" s="600"/>
      <c r="AI22" s="600"/>
      <c r="AJ22" s="600"/>
      <c r="AK22" s="600"/>
      <c r="AL22" s="601"/>
      <c r="AM22" s="486"/>
      <c r="AN22" s="487"/>
      <c r="AO22" s="265"/>
      <c r="AP22" s="265"/>
      <c r="AQ22" s="265"/>
      <c r="AR22" s="485"/>
      <c r="AS22" s="539"/>
      <c r="AT22" s="540"/>
      <c r="AU22" s="145"/>
    </row>
    <row r="23" spans="1:47" ht="13">
      <c r="A23" s="285" t="s">
        <v>364</v>
      </c>
      <c r="B23" s="144"/>
      <c r="C23" s="267"/>
      <c r="D23" s="268"/>
      <c r="E23" s="268"/>
      <c r="F23" s="268"/>
      <c r="G23" s="268"/>
      <c r="H23" s="268">
        <v>1</v>
      </c>
      <c r="I23" s="613">
        <v>1</v>
      </c>
      <c r="J23" s="624">
        <v>1</v>
      </c>
      <c r="K23" s="625">
        <v>1</v>
      </c>
      <c r="L23" s="268">
        <v>1</v>
      </c>
      <c r="M23" s="268"/>
      <c r="N23" s="269"/>
      <c r="O23" s="268"/>
      <c r="Y23" s="268"/>
      <c r="Z23" s="269"/>
      <c r="AA23" s="268"/>
      <c r="AB23" s="268"/>
      <c r="AC23" s="268"/>
      <c r="AD23" s="613"/>
      <c r="AE23" s="268"/>
      <c r="AF23" s="268"/>
      <c r="AG23" s="268"/>
      <c r="AH23" s="268"/>
      <c r="AI23" s="268"/>
      <c r="AJ23" s="268"/>
      <c r="AK23" s="268"/>
      <c r="AL23" s="269"/>
      <c r="AM23" s="541">
        <f t="shared" si="3"/>
        <v>105</v>
      </c>
      <c r="AN23" s="542">
        <f t="shared" si="2"/>
        <v>105</v>
      </c>
      <c r="AO23" s="280">
        <v>2.7</v>
      </c>
      <c r="AP23" s="280">
        <v>0.79</v>
      </c>
      <c r="AQ23" s="280">
        <v>120</v>
      </c>
      <c r="AR23" s="612">
        <v>826.07594936708858</v>
      </c>
      <c r="AS23" s="539">
        <f t="shared" ref="AS23:AT27" si="7">AM23*AO23*AQ23</f>
        <v>34020</v>
      </c>
      <c r="AT23" s="540">
        <f t="shared" si="7"/>
        <v>68523</v>
      </c>
      <c r="AU23" s="145"/>
    </row>
    <row r="24" spans="1:47" ht="13">
      <c r="A24" s="285" t="s">
        <v>366</v>
      </c>
      <c r="B24" s="144"/>
      <c r="C24" s="267"/>
      <c r="D24" s="268"/>
      <c r="E24" s="268"/>
      <c r="F24" s="268"/>
      <c r="G24" s="268"/>
      <c r="H24" s="268"/>
      <c r="I24" s="613"/>
      <c r="J24" s="624"/>
      <c r="K24" s="625"/>
      <c r="L24" s="268">
        <v>1</v>
      </c>
      <c r="M24" s="268">
        <v>1</v>
      </c>
      <c r="N24" s="269">
        <v>1</v>
      </c>
      <c r="O24" s="268">
        <v>1</v>
      </c>
      <c r="P24" s="268">
        <v>1</v>
      </c>
      <c r="Q24" s="268"/>
      <c r="Y24" s="268"/>
      <c r="Z24" s="269"/>
      <c r="AA24" s="268"/>
      <c r="AB24" s="268"/>
      <c r="AC24" s="268"/>
      <c r="AD24" s="613"/>
      <c r="AE24" s="268"/>
      <c r="AF24" s="268"/>
      <c r="AG24" s="268"/>
      <c r="AH24" s="268"/>
      <c r="AI24" s="268"/>
      <c r="AJ24" s="268"/>
      <c r="AK24" s="268"/>
      <c r="AL24" s="269"/>
      <c r="AM24" s="541">
        <f t="shared" si="3"/>
        <v>105</v>
      </c>
      <c r="AN24" s="542">
        <f t="shared" si="2"/>
        <v>105</v>
      </c>
      <c r="AO24" s="280">
        <v>2.2999999999999998</v>
      </c>
      <c r="AP24" s="280">
        <v>0.77</v>
      </c>
      <c r="AQ24" s="280">
        <v>120</v>
      </c>
      <c r="AR24" s="612">
        <v>755.84415584415581</v>
      </c>
      <c r="AS24" s="539">
        <f t="shared" si="7"/>
        <v>28979.999999999996</v>
      </c>
      <c r="AT24" s="540">
        <f t="shared" si="7"/>
        <v>61110</v>
      </c>
      <c r="AU24" s="145"/>
    </row>
    <row r="25" spans="1:47" ht="13">
      <c r="A25" s="285" t="s">
        <v>367</v>
      </c>
      <c r="B25" s="144"/>
      <c r="C25" s="267"/>
      <c r="D25" s="268"/>
      <c r="E25" s="268"/>
      <c r="F25" s="268"/>
      <c r="G25" s="268"/>
      <c r="H25" s="268"/>
      <c r="I25" s="613"/>
      <c r="J25" s="624"/>
      <c r="K25" s="625"/>
      <c r="L25" s="268"/>
      <c r="M25" s="268"/>
      <c r="N25" s="269"/>
      <c r="O25" s="268">
        <v>1</v>
      </c>
      <c r="P25" s="268">
        <v>1</v>
      </c>
      <c r="Q25" s="268">
        <v>1</v>
      </c>
      <c r="R25" s="268">
        <v>1</v>
      </c>
      <c r="Y25" s="268"/>
      <c r="Z25" s="269"/>
      <c r="AA25" s="268"/>
      <c r="AB25" s="268"/>
      <c r="AC25" s="268"/>
      <c r="AD25" s="613"/>
      <c r="AE25" s="268"/>
      <c r="AF25" s="268"/>
      <c r="AG25" s="268"/>
      <c r="AH25" s="268"/>
      <c r="AI25" s="268"/>
      <c r="AJ25" s="268"/>
      <c r="AK25" s="268"/>
      <c r="AL25" s="269"/>
      <c r="AM25" s="541">
        <f t="shared" si="3"/>
        <v>84</v>
      </c>
      <c r="AN25" s="542">
        <f t="shared" si="2"/>
        <v>84</v>
      </c>
      <c r="AO25" s="280">
        <v>2.5</v>
      </c>
      <c r="AP25" s="280">
        <v>0.33</v>
      </c>
      <c r="AQ25" s="280">
        <v>120</v>
      </c>
      <c r="AR25" s="612">
        <v>633.030303030303</v>
      </c>
      <c r="AS25" s="539">
        <f t="shared" si="7"/>
        <v>25200</v>
      </c>
      <c r="AT25" s="540">
        <f t="shared" si="7"/>
        <v>17547.600000000002</v>
      </c>
      <c r="AU25" s="145"/>
    </row>
    <row r="26" spans="1:47" ht="13">
      <c r="A26" s="285" t="s">
        <v>371</v>
      </c>
      <c r="B26" s="144"/>
      <c r="C26" s="267"/>
      <c r="D26" s="268"/>
      <c r="E26" s="268"/>
      <c r="F26" s="268"/>
      <c r="G26" s="268"/>
      <c r="H26" s="268"/>
      <c r="I26" s="613"/>
      <c r="J26" s="624"/>
      <c r="K26" s="625"/>
      <c r="L26" s="268"/>
      <c r="M26" s="268"/>
      <c r="N26" s="269"/>
      <c r="O26" s="268"/>
      <c r="P26" s="268"/>
      <c r="Q26" s="268"/>
      <c r="R26" s="268">
        <v>1</v>
      </c>
      <c r="S26" s="268">
        <v>1</v>
      </c>
      <c r="T26" s="268">
        <v>1</v>
      </c>
      <c r="Y26" s="268"/>
      <c r="Z26" s="269"/>
      <c r="AA26" s="268"/>
      <c r="AB26" s="268"/>
      <c r="AC26" s="268"/>
      <c r="AD26" s="613"/>
      <c r="AE26" s="268"/>
      <c r="AF26" s="268"/>
      <c r="AG26" s="268"/>
      <c r="AH26" s="268"/>
      <c r="AI26" s="268"/>
      <c r="AJ26" s="268"/>
      <c r="AK26" s="268"/>
      <c r="AL26" s="269"/>
      <c r="AM26" s="541">
        <f t="shared" si="3"/>
        <v>63</v>
      </c>
      <c r="AN26" s="542">
        <f t="shared" si="2"/>
        <v>63</v>
      </c>
      <c r="AO26" s="280">
        <v>2</v>
      </c>
      <c r="AP26" s="280">
        <v>0.26</v>
      </c>
      <c r="AQ26" s="280">
        <v>120</v>
      </c>
      <c r="AR26" s="612">
        <v>785.38461538461547</v>
      </c>
      <c r="AS26" s="539">
        <f t="shared" si="7"/>
        <v>15120</v>
      </c>
      <c r="AT26" s="540">
        <f t="shared" si="7"/>
        <v>12864.6</v>
      </c>
      <c r="AU26" s="608">
        <f>SUM(AS23:AT26)</f>
        <v>263365.2</v>
      </c>
    </row>
    <row r="27" spans="1:47">
      <c r="A27" s="611" t="s">
        <v>368</v>
      </c>
      <c r="B27" s="144"/>
      <c r="C27" s="267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9"/>
      <c r="O27" s="268"/>
      <c r="P27" s="268"/>
      <c r="Q27" s="268"/>
      <c r="T27" s="268">
        <v>1</v>
      </c>
      <c r="U27" s="268">
        <v>1</v>
      </c>
      <c r="V27" s="268">
        <v>1</v>
      </c>
      <c r="W27" s="268">
        <v>1</v>
      </c>
      <c r="X27" s="268"/>
      <c r="Y27" s="268"/>
      <c r="Z27" s="269"/>
      <c r="AA27" s="268"/>
      <c r="AB27" s="268"/>
      <c r="AC27" s="268"/>
      <c r="AG27" s="268"/>
      <c r="AH27" s="268"/>
      <c r="AI27" s="268"/>
      <c r="AJ27" s="268"/>
      <c r="AK27" s="268"/>
      <c r="AL27" s="268"/>
      <c r="AM27" s="541">
        <f>COUNTA(C27:AL27)*21</f>
        <v>84</v>
      </c>
      <c r="AN27" s="542">
        <f t="shared" si="2"/>
        <v>84</v>
      </c>
      <c r="AO27" s="280">
        <v>0</v>
      </c>
      <c r="AP27" s="280">
        <v>0.2</v>
      </c>
      <c r="AQ27" s="280">
        <v>120</v>
      </c>
      <c r="AR27" s="612">
        <v>710</v>
      </c>
      <c r="AS27" s="539">
        <f t="shared" si="7"/>
        <v>0</v>
      </c>
      <c r="AT27" s="540">
        <f t="shared" si="7"/>
        <v>11928</v>
      </c>
      <c r="AU27" s="145"/>
    </row>
    <row r="28" spans="1:47">
      <c r="A28" s="611" t="s">
        <v>320</v>
      </c>
      <c r="B28" s="144"/>
      <c r="C28" s="267">
        <v>1</v>
      </c>
      <c r="D28" s="268">
        <v>1</v>
      </c>
      <c r="E28" s="268">
        <v>1</v>
      </c>
      <c r="F28" s="268">
        <v>1</v>
      </c>
      <c r="G28" s="268">
        <v>1</v>
      </c>
      <c r="H28" s="268">
        <v>1</v>
      </c>
      <c r="I28" s="268">
        <v>1</v>
      </c>
      <c r="J28" s="268">
        <v>1</v>
      </c>
      <c r="K28" s="268">
        <v>1</v>
      </c>
      <c r="L28" s="268">
        <v>1</v>
      </c>
      <c r="M28" s="268">
        <v>1</v>
      </c>
      <c r="N28" s="269">
        <v>1</v>
      </c>
      <c r="O28" s="268">
        <v>1</v>
      </c>
      <c r="P28" s="268">
        <v>1</v>
      </c>
      <c r="Q28" s="268">
        <v>1</v>
      </c>
      <c r="R28" s="268">
        <v>1</v>
      </c>
      <c r="S28" s="268">
        <v>1</v>
      </c>
      <c r="T28" s="268">
        <v>1</v>
      </c>
      <c r="U28" s="268">
        <v>1</v>
      </c>
      <c r="V28" s="268">
        <v>1</v>
      </c>
      <c r="W28" s="268">
        <v>1</v>
      </c>
      <c r="X28" s="268">
        <v>1</v>
      </c>
      <c r="Y28" s="268">
        <v>1</v>
      </c>
      <c r="Z28" s="269">
        <v>1</v>
      </c>
      <c r="AA28" s="268">
        <v>1</v>
      </c>
      <c r="AB28" s="268">
        <v>1</v>
      </c>
      <c r="AC28" s="268">
        <v>1</v>
      </c>
      <c r="AD28" s="268">
        <v>1</v>
      </c>
      <c r="AE28" s="268">
        <v>1</v>
      </c>
      <c r="AF28" s="268">
        <v>1</v>
      </c>
      <c r="AG28" s="268">
        <v>1</v>
      </c>
      <c r="AH28" s="268">
        <v>1</v>
      </c>
      <c r="AI28" s="268">
        <v>1</v>
      </c>
      <c r="AJ28" s="268">
        <v>1</v>
      </c>
      <c r="AK28" s="268">
        <v>1</v>
      </c>
      <c r="AL28" s="268">
        <v>1</v>
      </c>
      <c r="AM28" s="541">
        <f t="shared" si="3"/>
        <v>756</v>
      </c>
      <c r="AN28" s="542">
        <f t="shared" si="2"/>
        <v>756</v>
      </c>
      <c r="AO28" s="280"/>
      <c r="AP28" s="280"/>
      <c r="AQ28" s="280"/>
      <c r="AR28" s="484"/>
      <c r="AS28" s="539">
        <v>115800</v>
      </c>
      <c r="AT28" s="540">
        <f>AN28*AP28*AR28</f>
        <v>0</v>
      </c>
      <c r="AU28" s="608"/>
    </row>
    <row r="29" spans="1:47" ht="13" thickBot="1">
      <c r="A29" s="611" t="s">
        <v>155</v>
      </c>
      <c r="B29" s="144"/>
      <c r="C29" s="267">
        <v>1</v>
      </c>
      <c r="D29" s="268">
        <v>1</v>
      </c>
      <c r="E29" s="268">
        <v>1</v>
      </c>
      <c r="F29" s="268">
        <v>1</v>
      </c>
      <c r="G29" s="268">
        <v>1</v>
      </c>
      <c r="H29" s="268">
        <v>1</v>
      </c>
      <c r="I29" s="268">
        <v>1</v>
      </c>
      <c r="J29" s="268">
        <v>1</v>
      </c>
      <c r="K29" s="268">
        <v>1</v>
      </c>
      <c r="L29" s="268">
        <v>1</v>
      </c>
      <c r="M29" s="268">
        <v>1</v>
      </c>
      <c r="N29" s="269">
        <v>1</v>
      </c>
      <c r="O29" s="268">
        <v>1</v>
      </c>
      <c r="P29" s="268">
        <v>1</v>
      </c>
      <c r="Q29" s="268">
        <v>1</v>
      </c>
      <c r="R29" s="268">
        <v>1</v>
      </c>
      <c r="S29" s="268">
        <v>1</v>
      </c>
      <c r="T29" s="268">
        <v>1</v>
      </c>
      <c r="U29" s="268">
        <v>1</v>
      </c>
      <c r="V29" s="268">
        <v>1</v>
      </c>
      <c r="W29" s="268">
        <v>1</v>
      </c>
      <c r="X29" s="268">
        <v>1</v>
      </c>
      <c r="Y29" s="268">
        <v>1</v>
      </c>
      <c r="Z29" s="623">
        <v>1</v>
      </c>
      <c r="AA29" s="268">
        <v>1</v>
      </c>
      <c r="AB29" s="268">
        <v>1</v>
      </c>
      <c r="AC29" s="268">
        <v>1</v>
      </c>
      <c r="AD29" s="268">
        <v>1</v>
      </c>
      <c r="AE29" s="268">
        <v>1</v>
      </c>
      <c r="AF29" s="268">
        <v>1</v>
      </c>
      <c r="AG29" s="268">
        <v>1</v>
      </c>
      <c r="AH29" s="268">
        <v>1</v>
      </c>
      <c r="AI29" s="268">
        <v>1</v>
      </c>
      <c r="AJ29" s="268">
        <v>1</v>
      </c>
      <c r="AK29" s="268">
        <v>1</v>
      </c>
      <c r="AL29" s="268">
        <v>1</v>
      </c>
      <c r="AM29" s="541">
        <f t="shared" si="3"/>
        <v>756</v>
      </c>
      <c r="AN29" s="542">
        <f t="shared" si="2"/>
        <v>756</v>
      </c>
      <c r="AO29" s="280"/>
      <c r="AP29" s="280"/>
      <c r="AQ29" s="280"/>
      <c r="AR29" s="484"/>
      <c r="AS29" s="539">
        <v>57981</v>
      </c>
      <c r="AT29" s="540">
        <f>AN29*AP29*AR29</f>
        <v>0</v>
      </c>
      <c r="AU29" s="145"/>
    </row>
    <row r="30" spans="1:47" ht="13" thickBot="1">
      <c r="A30" s="286" t="s">
        <v>157</v>
      </c>
      <c r="B30" s="146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66"/>
      <c r="AN30" s="266"/>
      <c r="AO30" s="266"/>
      <c r="AP30" s="266"/>
      <c r="AQ30" s="266"/>
      <c r="AR30" s="266"/>
      <c r="AS30" s="536">
        <f>SUM(AS4:AS29)</f>
        <v>656361</v>
      </c>
      <c r="AT30" s="537">
        <f>SUM(AT4:AT29)</f>
        <v>1147710.9000000004</v>
      </c>
      <c r="AU30" s="147"/>
    </row>
    <row r="31" spans="1:47">
      <c r="AU31" s="148"/>
    </row>
    <row r="33" spans="46:46" ht="16">
      <c r="AT33" s="149"/>
    </row>
  </sheetData>
  <phoneticPr fontId="71" type="noConversion"/>
  <conditionalFormatting sqref="C28:Z29 C27:Q27 U27:Z29 C22:Z22 P16:Z16 P24:Q24 P25:R26 S26:T26 T27:W27 P18:Z20 P21:W21 C4:Z15 AA4:AL16 P17:AL17 C16:O21 Y23:Z26 C23:O26 AA20:AL26">
    <cfRule type="colorScale" priority="60">
      <colorScale>
        <cfvo type="num" val="0"/>
        <cfvo type="num" val="1"/>
        <color theme="0"/>
        <color theme="2" tint="-0.249977111117893"/>
      </colorScale>
    </cfRule>
  </conditionalFormatting>
  <conditionalFormatting sqref="AA28:AL29 AA27:AC27 AA18:AL19 AG27:AL27 X21:Z21">
    <cfRule type="colorScale" priority="5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3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CC"/>
  </sheetPr>
  <dimension ref="A1:F28"/>
  <sheetViews>
    <sheetView tabSelected="1" view="pageBreakPreview" zoomScale="90" zoomScaleNormal="100" zoomScaleSheetLayoutView="90" workbookViewId="0">
      <selection activeCell="F11" sqref="F11"/>
    </sheetView>
  </sheetViews>
  <sheetFormatPr baseColWidth="10" defaultColWidth="8.83203125" defaultRowHeight="15"/>
  <cols>
    <col min="1" max="1" width="51.5" customWidth="1"/>
    <col min="2" max="2" width="13.5" bestFit="1" customWidth="1"/>
    <col min="4" max="4" width="18.33203125" bestFit="1" customWidth="1"/>
    <col min="5" max="5" width="16" bestFit="1" customWidth="1"/>
    <col min="6" max="6" width="52.6640625" bestFit="1" customWidth="1"/>
  </cols>
  <sheetData>
    <row r="1" spans="1:6" ht="16" thickBot="1"/>
    <row r="2" spans="1:6" ht="16" thickBot="1">
      <c r="A2" s="516" t="s">
        <v>330</v>
      </c>
      <c r="B2" s="516" t="s">
        <v>331</v>
      </c>
      <c r="C2" s="516" t="s">
        <v>332</v>
      </c>
      <c r="D2" s="520" t="s">
        <v>333</v>
      </c>
      <c r="E2" s="520" t="s">
        <v>334</v>
      </c>
      <c r="F2" s="516" t="s">
        <v>335</v>
      </c>
    </row>
    <row r="3" spans="1:6">
      <c r="A3" s="602" t="s">
        <v>383</v>
      </c>
      <c r="B3" s="517" t="s">
        <v>375</v>
      </c>
      <c r="C3" s="517">
        <v>6</v>
      </c>
      <c r="D3" s="521">
        <f>1197.5</f>
        <v>1197.5</v>
      </c>
      <c r="E3" s="519">
        <f>C3*D3</f>
        <v>7185</v>
      </c>
      <c r="F3" s="615" t="s">
        <v>373</v>
      </c>
    </row>
    <row r="4" spans="1:6">
      <c r="A4" s="602" t="s">
        <v>372</v>
      </c>
      <c r="B4" s="517" t="s">
        <v>374</v>
      </c>
      <c r="C4" s="517">
        <v>450000</v>
      </c>
      <c r="D4" s="521">
        <f>0.00305</f>
        <v>3.0500000000000002E-3</v>
      </c>
      <c r="E4" s="519">
        <f t="shared" ref="E4:E13" si="0">C4*D4</f>
        <v>1372.5</v>
      </c>
      <c r="F4" s="615" t="s">
        <v>373</v>
      </c>
    </row>
    <row r="5" spans="1:6">
      <c r="A5" s="602" t="s">
        <v>372</v>
      </c>
      <c r="B5" s="518" t="s">
        <v>376</v>
      </c>
      <c r="C5" s="518">
        <v>5000</v>
      </c>
      <c r="D5" s="522">
        <f>0.0228</f>
        <v>2.2800000000000001E-2</v>
      </c>
      <c r="E5" s="519">
        <f t="shared" si="0"/>
        <v>114</v>
      </c>
      <c r="F5" s="615" t="s">
        <v>373</v>
      </c>
    </row>
    <row r="6" spans="1:6">
      <c r="A6" s="602" t="s">
        <v>377</v>
      </c>
      <c r="B6" s="518" t="s">
        <v>376</v>
      </c>
      <c r="C6" s="518">
        <v>5000</v>
      </c>
      <c r="D6" s="522">
        <f>0.0024</f>
        <v>2.3999999999999998E-3</v>
      </c>
      <c r="E6" s="519">
        <f t="shared" si="0"/>
        <v>11.999999999999998</v>
      </c>
      <c r="F6" s="615" t="s">
        <v>373</v>
      </c>
    </row>
    <row r="7" spans="1:6">
      <c r="A7" s="602" t="s">
        <v>378</v>
      </c>
      <c r="B7" s="518" t="s">
        <v>379</v>
      </c>
      <c r="C7" s="518">
        <v>1</v>
      </c>
      <c r="D7" s="522">
        <f>1078</f>
        <v>1078</v>
      </c>
      <c r="E7" s="519">
        <f t="shared" si="0"/>
        <v>1078</v>
      </c>
      <c r="F7" s="615" t="s">
        <v>373</v>
      </c>
    </row>
    <row r="8" spans="1:6" ht="28">
      <c r="A8" s="620" t="s">
        <v>404</v>
      </c>
      <c r="B8" s="618" t="s">
        <v>181</v>
      </c>
      <c r="C8" s="618" t="s">
        <v>181</v>
      </c>
      <c r="D8" s="619" t="s">
        <v>181</v>
      </c>
      <c r="E8" s="617">
        <v>8298</v>
      </c>
      <c r="F8" s="616" t="s">
        <v>407</v>
      </c>
    </row>
    <row r="9" spans="1:6" s="621" customFormat="1">
      <c r="A9" s="620" t="s">
        <v>405</v>
      </c>
      <c r="B9" s="618" t="s">
        <v>181</v>
      </c>
      <c r="C9" s="618" t="s">
        <v>181</v>
      </c>
      <c r="D9" s="619" t="s">
        <v>181</v>
      </c>
      <c r="E9" s="617">
        <f>36*E8</f>
        <v>298728</v>
      </c>
      <c r="F9" s="616" t="s">
        <v>406</v>
      </c>
    </row>
    <row r="10" spans="1:6" ht="42">
      <c r="A10" s="602" t="s">
        <v>380</v>
      </c>
      <c r="B10" s="517" t="s">
        <v>336</v>
      </c>
      <c r="C10" s="517">
        <v>5</v>
      </c>
      <c r="D10" s="522">
        <v>1019</v>
      </c>
      <c r="E10" s="519">
        <f t="shared" si="0"/>
        <v>5095</v>
      </c>
      <c r="F10" s="615" t="s">
        <v>408</v>
      </c>
    </row>
    <row r="11" spans="1:6" ht="56">
      <c r="A11" s="602" t="s">
        <v>381</v>
      </c>
      <c r="B11" s="517" t="s">
        <v>336</v>
      </c>
      <c r="C11" s="517">
        <v>20</v>
      </c>
      <c r="D11" s="522">
        <v>465</v>
      </c>
      <c r="E11" s="519">
        <f t="shared" si="0"/>
        <v>9300</v>
      </c>
      <c r="F11" s="615" t="s">
        <v>408</v>
      </c>
    </row>
    <row r="12" spans="1:6" ht="42">
      <c r="A12" s="602" t="s">
        <v>382</v>
      </c>
      <c r="B12" s="518" t="s">
        <v>336</v>
      </c>
      <c r="C12" s="518">
        <v>20</v>
      </c>
      <c r="D12" s="522">
        <v>739</v>
      </c>
      <c r="E12" s="519">
        <f t="shared" si="0"/>
        <v>14780</v>
      </c>
      <c r="F12" s="615" t="s">
        <v>408</v>
      </c>
    </row>
    <row r="13" spans="1:6">
      <c r="A13" s="602" t="s">
        <v>384</v>
      </c>
      <c r="B13" s="518" t="s">
        <v>336</v>
      </c>
      <c r="C13" s="518">
        <v>1500</v>
      </c>
      <c r="D13" s="522">
        <v>664.8</v>
      </c>
      <c r="E13" s="519">
        <f t="shared" si="0"/>
        <v>997199.99999999988</v>
      </c>
      <c r="F13" s="515" t="s">
        <v>385</v>
      </c>
    </row>
    <row r="14" spans="1:6" ht="28">
      <c r="A14" s="620" t="s">
        <v>386</v>
      </c>
      <c r="B14" s="618" t="s">
        <v>181</v>
      </c>
      <c r="C14" s="618" t="s">
        <v>181</v>
      </c>
      <c r="D14" s="619" t="s">
        <v>181</v>
      </c>
      <c r="E14" s="622">
        <f>SUM(E10:E13)</f>
        <v>1026374.9999999999</v>
      </c>
      <c r="F14" s="616" t="s">
        <v>387</v>
      </c>
    </row>
    <row r="15" spans="1:6">
      <c r="A15" s="602"/>
      <c r="B15" s="518"/>
      <c r="C15" s="518"/>
      <c r="D15" s="522"/>
      <c r="E15" s="519"/>
      <c r="F15" s="515"/>
    </row>
    <row r="16" spans="1:6">
      <c r="A16" s="602"/>
      <c r="B16" s="518"/>
      <c r="C16" s="518"/>
      <c r="D16" s="522"/>
      <c r="E16" s="519"/>
      <c r="F16" s="514"/>
    </row>
    <row r="17" spans="1:6">
      <c r="A17" s="602"/>
      <c r="B17" s="518"/>
      <c r="C17" s="518"/>
      <c r="D17" s="522"/>
      <c r="E17" s="519"/>
      <c r="F17" s="514"/>
    </row>
    <row r="18" spans="1:6">
      <c r="A18" s="602"/>
      <c r="B18" s="518"/>
      <c r="C18" s="518"/>
      <c r="D18" s="522"/>
      <c r="E18" s="519"/>
      <c r="F18" s="514"/>
    </row>
    <row r="19" spans="1:6">
      <c r="A19" s="602"/>
      <c r="B19" s="518"/>
      <c r="C19" s="518"/>
      <c r="D19" s="522"/>
      <c r="E19" s="519"/>
      <c r="F19" s="514"/>
    </row>
    <row r="20" spans="1:6">
      <c r="A20" s="602"/>
      <c r="B20" s="518"/>
      <c r="C20" s="518"/>
      <c r="D20" s="522"/>
      <c r="E20" s="519"/>
      <c r="F20" s="514"/>
    </row>
    <row r="21" spans="1:6">
      <c r="A21" s="602"/>
      <c r="B21" s="518"/>
      <c r="C21" s="518"/>
      <c r="D21" s="522"/>
      <c r="E21" s="519"/>
      <c r="F21" s="514"/>
    </row>
    <row r="22" spans="1:6">
      <c r="A22" s="602"/>
      <c r="B22" s="518"/>
      <c r="C22" s="518"/>
      <c r="D22" s="522"/>
      <c r="E22" s="519"/>
      <c r="F22" s="514"/>
    </row>
    <row r="23" spans="1:6">
      <c r="A23" s="285"/>
      <c r="B23" s="518"/>
      <c r="C23" s="518"/>
      <c r="D23" s="522"/>
      <c r="E23" s="519"/>
      <c r="F23" s="514"/>
    </row>
    <row r="24" spans="1:6">
      <c r="A24" s="285"/>
      <c r="B24" s="518"/>
      <c r="C24" s="518"/>
      <c r="D24" s="522"/>
      <c r="E24" s="519"/>
      <c r="F24" s="514"/>
    </row>
    <row r="25" spans="1:6">
      <c r="A25" s="285"/>
      <c r="B25" s="518"/>
      <c r="C25" s="518"/>
      <c r="D25" s="522"/>
      <c r="E25" s="519"/>
      <c r="F25" s="514"/>
    </row>
    <row r="26" spans="1:6">
      <c r="A26" s="285"/>
      <c r="B26" s="518"/>
      <c r="C26" s="518"/>
      <c r="D26" s="522"/>
      <c r="E26" s="519"/>
      <c r="F26" s="514"/>
    </row>
    <row r="27" spans="1:6">
      <c r="A27" s="285"/>
      <c r="B27" s="518"/>
      <c r="C27" s="518"/>
      <c r="D27" s="522"/>
      <c r="E27" s="519"/>
      <c r="F27" s="514"/>
    </row>
    <row r="28" spans="1:6">
      <c r="A28" s="285"/>
      <c r="B28" s="518"/>
      <c r="C28" s="518"/>
      <c r="D28" s="522"/>
      <c r="E28" s="519"/>
      <c r="F28" s="514"/>
    </row>
  </sheetData>
  <phoneticPr fontId="71" type="noConversion"/>
  <hyperlinks>
    <hyperlink ref="F3" r:id="rId1" xr:uid="{E32361EC-990B-4002-A619-ED4F8B40BF59}"/>
    <hyperlink ref="F4:F7" r:id="rId2" display="www.oracle.com/cloud/cost-estimator.html" xr:uid="{81416544-4BD5-47EB-B701-07BD1F200B0B}"/>
    <hyperlink ref="F10" r:id="rId3" xr:uid="{198CE79B-B449-497E-B925-1A77615C6BE4}"/>
    <hyperlink ref="F11:F12" r:id="rId4" display="www.alza.sk" xr:uid="{D1F8FFD3-3293-4571-A1FD-F2DFA11BF65A}"/>
  </hyperlinks>
  <pageMargins left="0.7" right="0.7" top="0.75" bottom="0.75" header="0.3" footer="0.3"/>
  <pageSetup paperSize="9" scale="55" orientation="portrait" r:id="rId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CC"/>
  </sheetPr>
  <dimension ref="A1:AQ15"/>
  <sheetViews>
    <sheetView view="pageBreakPreview" topLeftCell="M1" zoomScale="60" zoomScaleNormal="80" workbookViewId="0">
      <selection activeCell="AG33" sqref="AG33"/>
    </sheetView>
  </sheetViews>
  <sheetFormatPr baseColWidth="10" defaultColWidth="8.6640625" defaultRowHeight="12"/>
  <cols>
    <col min="1" max="1" width="36.33203125" style="137" customWidth="1"/>
    <col min="2" max="2" width="34.6640625" style="137" customWidth="1"/>
    <col min="3" max="3" width="3.33203125" style="137" customWidth="1"/>
    <col min="4" max="24" width="3.6640625" style="137" customWidth="1"/>
    <col min="25" max="25" width="4.5" style="137" customWidth="1"/>
    <col min="26" max="28" width="16.5" style="137" customWidth="1"/>
    <col min="29" max="29" width="18.1640625" style="137" customWidth="1"/>
    <col min="30" max="30" width="9" style="137" customWidth="1"/>
    <col min="31" max="31" width="9.1640625" style="137" customWidth="1"/>
    <col min="32" max="32" width="9" style="137" customWidth="1"/>
    <col min="33" max="33" width="10.6640625" style="138" customWidth="1"/>
    <col min="34" max="36" width="10.6640625" style="137" customWidth="1"/>
    <col min="37" max="37" width="52.1640625" style="137" customWidth="1"/>
    <col min="38" max="38" width="51.6640625" style="137" customWidth="1"/>
    <col min="39" max="42" width="8.6640625" style="137"/>
    <col min="43" max="43" width="18.83203125" style="137" customWidth="1"/>
    <col min="44" max="16384" width="8.6640625" style="137"/>
  </cols>
  <sheetData>
    <row r="1" spans="1:43" ht="26.25" customHeight="1" thickBot="1">
      <c r="A1" s="727" t="s">
        <v>209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523"/>
      <c r="AA1" s="523"/>
      <c r="AB1" s="523"/>
      <c r="AC1" s="523"/>
      <c r="AD1" s="727" t="s">
        <v>207</v>
      </c>
      <c r="AE1" s="727"/>
      <c r="AF1" s="727"/>
      <c r="AG1" s="727"/>
      <c r="AH1" s="727"/>
      <c r="AI1" s="727"/>
      <c r="AJ1" s="727"/>
      <c r="AK1" s="727"/>
    </row>
    <row r="2" spans="1:43" ht="36" customHeight="1" thickBot="1">
      <c r="A2" s="256"/>
      <c r="B2" s="255"/>
      <c r="C2" s="257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8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8"/>
      <c r="Z2" s="728" t="s">
        <v>281</v>
      </c>
      <c r="AA2" s="729"/>
      <c r="AB2" s="729"/>
      <c r="AC2" s="729"/>
      <c r="AD2" s="729"/>
      <c r="AE2" s="729"/>
      <c r="AF2" s="729"/>
      <c r="AG2" s="729"/>
      <c r="AH2" s="729"/>
      <c r="AI2" s="729"/>
      <c r="AJ2" s="729"/>
      <c r="AK2" s="730"/>
      <c r="AL2" s="719" t="s">
        <v>280</v>
      </c>
      <c r="AM2" s="720"/>
      <c r="AN2" s="720"/>
      <c r="AO2" s="720"/>
      <c r="AP2" s="720"/>
      <c r="AQ2" s="721"/>
    </row>
    <row r="3" spans="1:43" ht="36" customHeight="1" thickBot="1">
      <c r="A3" s="340"/>
      <c r="B3" s="338"/>
      <c r="C3" s="339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7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7"/>
      <c r="Z3" s="719" t="s">
        <v>340</v>
      </c>
      <c r="AA3" s="720"/>
      <c r="AB3" s="720"/>
      <c r="AC3" s="720"/>
      <c r="AD3" s="719" t="s">
        <v>341</v>
      </c>
      <c r="AE3" s="720"/>
      <c r="AF3" s="720"/>
      <c r="AG3" s="720"/>
      <c r="AH3" s="720"/>
      <c r="AI3" s="720"/>
      <c r="AJ3" s="720"/>
      <c r="AK3" s="721"/>
      <c r="AL3" s="261"/>
      <c r="AM3" s="262"/>
      <c r="AN3" s="262"/>
      <c r="AO3" s="262"/>
      <c r="AP3" s="262"/>
      <c r="AQ3" s="252"/>
    </row>
    <row r="4" spans="1:43" ht="51" customHeight="1">
      <c r="A4" s="340" t="s">
        <v>210</v>
      </c>
      <c r="B4" s="594" t="s">
        <v>352</v>
      </c>
      <c r="C4" s="339" t="s">
        <v>124</v>
      </c>
      <c r="D4" s="338" t="s">
        <v>125</v>
      </c>
      <c r="E4" s="338" t="s">
        <v>126</v>
      </c>
      <c r="F4" s="338" t="s">
        <v>127</v>
      </c>
      <c r="G4" s="338" t="s">
        <v>128</v>
      </c>
      <c r="H4" s="338" t="s">
        <v>129</v>
      </c>
      <c r="I4" s="338" t="s">
        <v>130</v>
      </c>
      <c r="J4" s="338" t="s">
        <v>131</v>
      </c>
      <c r="K4" s="338" t="s">
        <v>132</v>
      </c>
      <c r="L4" s="338" t="s">
        <v>133</v>
      </c>
      <c r="M4" s="338" t="s">
        <v>134</v>
      </c>
      <c r="N4" s="337" t="s">
        <v>135</v>
      </c>
      <c r="O4" s="338" t="s">
        <v>136</v>
      </c>
      <c r="P4" s="338" t="s">
        <v>137</v>
      </c>
      <c r="Q4" s="338" t="s">
        <v>138</v>
      </c>
      <c r="R4" s="338" t="s">
        <v>139</v>
      </c>
      <c r="S4" s="338" t="s">
        <v>140</v>
      </c>
      <c r="T4" s="338" t="s">
        <v>141</v>
      </c>
      <c r="U4" s="338" t="s">
        <v>142</v>
      </c>
      <c r="V4" s="338" t="s">
        <v>143</v>
      </c>
      <c r="W4" s="338" t="s">
        <v>144</v>
      </c>
      <c r="X4" s="338" t="s">
        <v>145</v>
      </c>
      <c r="Y4" s="337" t="s">
        <v>146</v>
      </c>
      <c r="Z4" s="257" t="s">
        <v>342</v>
      </c>
      <c r="AA4" s="255" t="s">
        <v>343</v>
      </c>
      <c r="AB4" s="255" t="s">
        <v>344</v>
      </c>
      <c r="AC4" s="255" t="s">
        <v>345</v>
      </c>
      <c r="AD4" s="259" t="s">
        <v>201</v>
      </c>
      <c r="AE4" s="260" t="s">
        <v>202</v>
      </c>
      <c r="AF4" s="260" t="s">
        <v>203</v>
      </c>
      <c r="AG4" s="252" t="s">
        <v>206</v>
      </c>
      <c r="AH4" s="252" t="s">
        <v>205</v>
      </c>
      <c r="AI4" s="252" t="s">
        <v>158</v>
      </c>
      <c r="AJ4" s="722" t="s">
        <v>208</v>
      </c>
      <c r="AK4" s="579" t="s">
        <v>211</v>
      </c>
      <c r="AL4" s="579" t="s">
        <v>279</v>
      </c>
      <c r="AM4" s="259" t="s">
        <v>201</v>
      </c>
      <c r="AN4" s="260" t="s">
        <v>202</v>
      </c>
      <c r="AO4" s="260" t="s">
        <v>203</v>
      </c>
      <c r="AP4" s="252" t="s">
        <v>206</v>
      </c>
      <c r="AQ4" s="725" t="s">
        <v>278</v>
      </c>
    </row>
    <row r="5" spans="1:43" ht="8.25" customHeight="1" thickBot="1">
      <c r="A5" s="140"/>
      <c r="B5" s="141"/>
      <c r="C5" s="142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3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3"/>
      <c r="Z5" s="142"/>
      <c r="AA5" s="141"/>
      <c r="AB5" s="141"/>
      <c r="AC5" s="141"/>
      <c r="AD5" s="261"/>
      <c r="AE5" s="262"/>
      <c r="AF5" s="262"/>
      <c r="AG5" s="270"/>
      <c r="AH5" s="270"/>
      <c r="AI5" s="270"/>
      <c r="AJ5" s="723"/>
      <c r="AK5" s="336"/>
      <c r="AL5" s="272"/>
      <c r="AM5" s="261"/>
      <c r="AN5" s="262"/>
      <c r="AO5" s="262"/>
      <c r="AP5" s="270"/>
      <c r="AQ5" s="726"/>
    </row>
    <row r="6" spans="1:43" ht="15" customHeight="1">
      <c r="A6" s="253" t="s">
        <v>204</v>
      </c>
      <c r="B6" s="253"/>
      <c r="C6" s="347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9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  <c r="Z6" s="581"/>
      <c r="AA6" s="582"/>
      <c r="AB6" s="582"/>
      <c r="AC6" s="583"/>
      <c r="AD6" s="544"/>
      <c r="AE6" s="280"/>
      <c r="AF6" s="280"/>
      <c r="AG6" s="535">
        <f t="shared" ref="AG6:AG11" si="0">AD6*AF6+AC6</f>
        <v>0</v>
      </c>
      <c r="AH6" s="535">
        <f t="shared" ref="AH6:AH11" si="1">AE6*AF6+AC6</f>
        <v>0</v>
      </c>
      <c r="AI6" s="535">
        <f t="shared" ref="AI6:AI11" si="2">AH6-AG6</f>
        <v>0</v>
      </c>
      <c r="AJ6" s="723"/>
      <c r="AK6" s="546"/>
      <c r="AL6" s="543"/>
      <c r="AM6" s="544"/>
      <c r="AN6" s="280"/>
      <c r="AO6" s="280"/>
      <c r="AP6" s="535">
        <f t="shared" ref="AP6:AP11" si="3">AM6*AO6</f>
        <v>0</v>
      </c>
      <c r="AQ6" s="546"/>
    </row>
    <row r="7" spans="1:43" ht="15" customHeight="1">
      <c r="A7" s="253" t="s">
        <v>162</v>
      </c>
      <c r="B7" s="253"/>
      <c r="C7" s="350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2"/>
      <c r="Z7" s="584"/>
      <c r="AA7" s="585"/>
      <c r="AB7" s="585"/>
      <c r="AC7" s="586"/>
      <c r="AD7" s="544"/>
      <c r="AE7" s="280"/>
      <c r="AF7" s="280"/>
      <c r="AG7" s="535">
        <f t="shared" si="0"/>
        <v>0</v>
      </c>
      <c r="AH7" s="535">
        <f t="shared" si="1"/>
        <v>0</v>
      </c>
      <c r="AI7" s="535">
        <f t="shared" si="2"/>
        <v>0</v>
      </c>
      <c r="AJ7" s="723"/>
      <c r="AK7" s="547"/>
      <c r="AL7" s="544"/>
      <c r="AM7" s="544"/>
      <c r="AN7" s="280"/>
      <c r="AO7" s="280"/>
      <c r="AP7" s="535">
        <f t="shared" si="3"/>
        <v>0</v>
      </c>
      <c r="AQ7" s="547"/>
    </row>
    <row r="8" spans="1:43" ht="15" customHeight="1">
      <c r="A8" s="253" t="s">
        <v>163</v>
      </c>
      <c r="B8" s="253"/>
      <c r="C8" s="350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2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2"/>
      <c r="Z8" s="584"/>
      <c r="AA8" s="585"/>
      <c r="AB8" s="585"/>
      <c r="AC8" s="586"/>
      <c r="AD8" s="544"/>
      <c r="AE8" s="280"/>
      <c r="AF8" s="280"/>
      <c r="AG8" s="535">
        <f t="shared" si="0"/>
        <v>0</v>
      </c>
      <c r="AH8" s="535">
        <f t="shared" si="1"/>
        <v>0</v>
      </c>
      <c r="AI8" s="535">
        <f t="shared" si="2"/>
        <v>0</v>
      </c>
      <c r="AJ8" s="723"/>
      <c r="AK8" s="547"/>
      <c r="AL8" s="544"/>
      <c r="AM8" s="544"/>
      <c r="AN8" s="280"/>
      <c r="AO8" s="280"/>
      <c r="AP8" s="535">
        <f t="shared" si="3"/>
        <v>0</v>
      </c>
      <c r="AQ8" s="547"/>
    </row>
    <row r="9" spans="1:43" ht="15" customHeight="1">
      <c r="A9" s="253" t="s">
        <v>164</v>
      </c>
      <c r="B9" s="253"/>
      <c r="C9" s="350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2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2"/>
      <c r="Z9" s="584"/>
      <c r="AA9" s="585"/>
      <c r="AB9" s="585"/>
      <c r="AC9" s="586"/>
      <c r="AD9" s="544"/>
      <c r="AE9" s="280"/>
      <c r="AF9" s="280"/>
      <c r="AG9" s="535">
        <f t="shared" si="0"/>
        <v>0</v>
      </c>
      <c r="AH9" s="535">
        <f t="shared" si="1"/>
        <v>0</v>
      </c>
      <c r="AI9" s="535">
        <f t="shared" si="2"/>
        <v>0</v>
      </c>
      <c r="AJ9" s="723"/>
      <c r="AK9" s="547"/>
      <c r="AL9" s="544"/>
      <c r="AM9" s="544"/>
      <c r="AN9" s="280"/>
      <c r="AO9" s="280"/>
      <c r="AP9" s="535">
        <f t="shared" si="3"/>
        <v>0</v>
      </c>
      <c r="AQ9" s="547"/>
    </row>
    <row r="10" spans="1:43" ht="15" customHeight="1">
      <c r="A10" s="253" t="s">
        <v>165</v>
      </c>
      <c r="B10" s="253"/>
      <c r="C10" s="350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2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2"/>
      <c r="Z10" s="584"/>
      <c r="AA10" s="585"/>
      <c r="AB10" s="585"/>
      <c r="AC10" s="586"/>
      <c r="AD10" s="544"/>
      <c r="AE10" s="280"/>
      <c r="AF10" s="280"/>
      <c r="AG10" s="535">
        <f t="shared" si="0"/>
        <v>0</v>
      </c>
      <c r="AH10" s="535">
        <f t="shared" si="1"/>
        <v>0</v>
      </c>
      <c r="AI10" s="535">
        <f t="shared" si="2"/>
        <v>0</v>
      </c>
      <c r="AJ10" s="723"/>
      <c r="AK10" s="547"/>
      <c r="AL10" s="544"/>
      <c r="AM10" s="544"/>
      <c r="AN10" s="280"/>
      <c r="AO10" s="280"/>
      <c r="AP10" s="535">
        <f t="shared" si="3"/>
        <v>0</v>
      </c>
      <c r="AQ10" s="547"/>
    </row>
    <row r="11" spans="1:43" ht="16" customHeight="1" thickBot="1">
      <c r="A11" s="254" t="s">
        <v>156</v>
      </c>
      <c r="B11" s="254"/>
      <c r="C11" s="353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5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5"/>
      <c r="Z11" s="587"/>
      <c r="AA11" s="588"/>
      <c r="AB11" s="588"/>
      <c r="AC11" s="589"/>
      <c r="AD11" s="545"/>
      <c r="AE11" s="281"/>
      <c r="AF11" s="281"/>
      <c r="AG11" s="580">
        <f t="shared" si="0"/>
        <v>0</v>
      </c>
      <c r="AH11" s="580">
        <f t="shared" si="1"/>
        <v>0</v>
      </c>
      <c r="AI11" s="580">
        <f t="shared" si="2"/>
        <v>0</v>
      </c>
      <c r="AJ11" s="724"/>
      <c r="AK11" s="548"/>
      <c r="AL11" s="545"/>
      <c r="AM11" s="545"/>
      <c r="AN11" s="281"/>
      <c r="AO11" s="281"/>
      <c r="AP11" s="535">
        <f t="shared" si="3"/>
        <v>0</v>
      </c>
      <c r="AQ11" s="548"/>
    </row>
    <row r="12" spans="1:43" ht="13" thickBot="1">
      <c r="A12" s="247" t="s">
        <v>157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578"/>
      <c r="AA12" s="578"/>
      <c r="AB12" s="578"/>
      <c r="AC12" s="578">
        <f t="shared" ref="AC12:AI12" si="4">SUM(AC6:AC11)</f>
        <v>0</v>
      </c>
      <c r="AD12" s="266">
        <f t="shared" si="4"/>
        <v>0</v>
      </c>
      <c r="AE12" s="266">
        <f t="shared" si="4"/>
        <v>0</v>
      </c>
      <c r="AF12" s="266">
        <f t="shared" si="4"/>
        <v>0</v>
      </c>
      <c r="AG12" s="271">
        <f t="shared" si="4"/>
        <v>0</v>
      </c>
      <c r="AH12" s="271">
        <f t="shared" si="4"/>
        <v>0</v>
      </c>
      <c r="AI12" s="271">
        <f t="shared" si="4"/>
        <v>0</v>
      </c>
      <c r="AJ12" s="335">
        <v>0</v>
      </c>
      <c r="AK12" s="334"/>
      <c r="AL12" s="266"/>
      <c r="AM12" s="266">
        <f>SUM(AM6:AM11)</f>
        <v>0</v>
      </c>
      <c r="AN12" s="266">
        <f>SUM(AN6:AN11)</f>
        <v>0</v>
      </c>
      <c r="AO12" s="266">
        <f>SUM(AO6:AO11)</f>
        <v>0</v>
      </c>
      <c r="AP12" s="271">
        <f>SUM(AP6:AP11)</f>
        <v>0</v>
      </c>
      <c r="AQ12" s="271"/>
    </row>
    <row r="13" spans="1:43">
      <c r="AH13" s="148"/>
      <c r="AI13" s="148"/>
      <c r="AJ13" s="148"/>
    </row>
    <row r="15" spans="1:43" ht="16">
      <c r="AG15" s="149"/>
    </row>
  </sheetData>
  <mergeCells count="8">
    <mergeCell ref="AL2:AQ2"/>
    <mergeCell ref="AJ4:AJ11"/>
    <mergeCell ref="AQ4:AQ5"/>
    <mergeCell ref="A1:Y1"/>
    <mergeCell ref="AD1:AK1"/>
    <mergeCell ref="Z2:AK2"/>
    <mergeCell ref="Z3:AC3"/>
    <mergeCell ref="AD3:AK3"/>
  </mergeCells>
  <conditionalFormatting sqref="C6:AC11">
    <cfRule type="colorScale" priority="1">
      <colorScale>
        <cfvo type="num" val="0"/>
        <cfvo type="num" val="1"/>
        <color theme="0"/>
        <color theme="2" tint="-0.249977111117893"/>
      </colorScale>
    </cfRule>
  </conditionalFormatting>
  <pageMargins left="0.7" right="0.7" top="0.75" bottom="0.75" header="0.3" footer="0.3"/>
  <pageSetup paperSize="9" scale="1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CC"/>
  </sheetPr>
  <dimension ref="A1:D14"/>
  <sheetViews>
    <sheetView view="pageBreakPreview" zoomScaleNormal="80" zoomScaleSheetLayoutView="100" workbookViewId="0">
      <selection activeCell="F13" sqref="F13"/>
    </sheetView>
  </sheetViews>
  <sheetFormatPr baseColWidth="10" defaultColWidth="8.83203125" defaultRowHeight="15"/>
  <cols>
    <col min="1" max="1" width="32.33203125" style="4" customWidth="1"/>
    <col min="2" max="2" width="66.6640625" style="4" customWidth="1"/>
    <col min="3" max="3" width="14.33203125" style="6" customWidth="1"/>
    <col min="4" max="4" width="23.5" style="4" customWidth="1"/>
    <col min="5" max="16384" width="8.83203125" style="4"/>
  </cols>
  <sheetData>
    <row r="1" spans="1:4" ht="17" thickTop="1" thickBot="1">
      <c r="A1" s="1" t="s">
        <v>0</v>
      </c>
      <c r="B1" s="2" t="s">
        <v>1</v>
      </c>
      <c r="C1" s="5" t="s">
        <v>10</v>
      </c>
      <c r="D1" s="3" t="s">
        <v>2</v>
      </c>
    </row>
    <row r="2" spans="1:4" ht="147" customHeight="1" thickTop="1" thickBot="1">
      <c r="A2" s="491" t="s">
        <v>3</v>
      </c>
      <c r="B2" s="492" t="s">
        <v>4</v>
      </c>
      <c r="C2" s="493" t="s">
        <v>11</v>
      </c>
      <c r="D2" s="201">
        <v>10</v>
      </c>
    </row>
    <row r="3" spans="1:4" ht="41.5" customHeight="1">
      <c r="A3" s="739" t="s">
        <v>5</v>
      </c>
      <c r="B3" s="750" t="s">
        <v>14</v>
      </c>
      <c r="C3" s="752" t="s">
        <v>12</v>
      </c>
      <c r="D3" s="741">
        <v>0.04</v>
      </c>
    </row>
    <row r="4" spans="1:4" ht="63" customHeight="1" thickBot="1">
      <c r="A4" s="740"/>
      <c r="B4" s="751"/>
      <c r="C4" s="753"/>
      <c r="D4" s="742"/>
    </row>
    <row r="5" spans="1:4" ht="30">
      <c r="A5" s="739" t="s">
        <v>6</v>
      </c>
      <c r="B5" s="494" t="s">
        <v>7</v>
      </c>
      <c r="C5" s="752" t="s">
        <v>12</v>
      </c>
      <c r="D5" s="743">
        <v>0.05</v>
      </c>
    </row>
    <row r="6" spans="1:4" ht="46" thickBot="1">
      <c r="A6" s="740"/>
      <c r="B6" s="492" t="s">
        <v>8</v>
      </c>
      <c r="C6" s="753"/>
      <c r="D6" s="744"/>
    </row>
    <row r="7" spans="1:4" ht="31" thickBot="1">
      <c r="A7" s="495" t="s">
        <v>183</v>
      </c>
      <c r="B7" s="496" t="s">
        <v>322</v>
      </c>
      <c r="C7" s="497" t="s">
        <v>13</v>
      </c>
      <c r="D7" s="200">
        <v>1339</v>
      </c>
    </row>
    <row r="8" spans="1:4" ht="15" customHeight="1">
      <c r="A8" s="745" t="s">
        <v>9</v>
      </c>
      <c r="B8" s="735" t="s">
        <v>327</v>
      </c>
      <c r="C8" s="754" t="s">
        <v>15</v>
      </c>
      <c r="D8" s="747">
        <f>$D$7*1.352/(D12/12)</f>
        <v>11.097796168582377</v>
      </c>
    </row>
    <row r="9" spans="1:4" ht="57" customHeight="1" thickBot="1">
      <c r="A9" s="746"/>
      <c r="B9" s="749"/>
      <c r="C9" s="755"/>
      <c r="D9" s="748"/>
    </row>
    <row r="10" spans="1:4">
      <c r="A10" s="733" t="s">
        <v>184</v>
      </c>
      <c r="B10" s="735" t="s">
        <v>323</v>
      </c>
      <c r="C10" s="731" t="s">
        <v>15</v>
      </c>
      <c r="D10" s="737">
        <v>5.55</v>
      </c>
    </row>
    <row r="11" spans="1:4" ht="20.25" customHeight="1" thickBot="1">
      <c r="A11" s="734"/>
      <c r="B11" s="736"/>
      <c r="C11" s="732"/>
      <c r="D11" s="738"/>
    </row>
    <row r="12" spans="1:4" ht="72" customHeight="1" thickBot="1">
      <c r="A12" s="498" t="s">
        <v>324</v>
      </c>
      <c r="B12" s="496" t="s">
        <v>329</v>
      </c>
      <c r="C12" s="499" t="s">
        <v>325</v>
      </c>
      <c r="D12" s="501">
        <v>1957.5</v>
      </c>
    </row>
    <row r="13" spans="1:4" ht="72" customHeight="1" thickBot="1">
      <c r="A13" s="498" t="s">
        <v>326</v>
      </c>
      <c r="B13" s="496" t="s">
        <v>328</v>
      </c>
      <c r="C13" s="499" t="s">
        <v>325</v>
      </c>
      <c r="D13" s="500">
        <v>2088</v>
      </c>
    </row>
    <row r="14" spans="1:4" ht="21" customHeight="1" thickBot="1">
      <c r="A14" s="498" t="s">
        <v>25</v>
      </c>
      <c r="B14" s="498" t="s">
        <v>114</v>
      </c>
      <c r="C14" s="499" t="s">
        <v>11</v>
      </c>
      <c r="D14" s="107">
        <v>2020</v>
      </c>
    </row>
  </sheetData>
  <mergeCells count="15">
    <mergeCell ref="C10:C11"/>
    <mergeCell ref="A10:A11"/>
    <mergeCell ref="B10:B11"/>
    <mergeCell ref="D10:D11"/>
    <mergeCell ref="A3:A4"/>
    <mergeCell ref="D3:D4"/>
    <mergeCell ref="A5:A6"/>
    <mergeCell ref="D5:D6"/>
    <mergeCell ref="A8:A9"/>
    <mergeCell ref="D8:D9"/>
    <mergeCell ref="B8:B9"/>
    <mergeCell ref="B3:B4"/>
    <mergeCell ref="C3:C4"/>
    <mergeCell ref="C8:C9"/>
    <mergeCell ref="C5:C6"/>
  </mergeCells>
  <pageMargins left="0.7" right="0.7" top="0.75" bottom="0.75" header="0.3" footer="0.3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CC"/>
  </sheetPr>
  <dimension ref="A1:T3"/>
  <sheetViews>
    <sheetView view="pageBreakPreview" zoomScale="60" zoomScaleNormal="60" workbookViewId="0">
      <selection sqref="A1:Y1"/>
    </sheetView>
  </sheetViews>
  <sheetFormatPr baseColWidth="10" defaultColWidth="8.83203125" defaultRowHeight="15"/>
  <sheetData>
    <row r="1" spans="1:20">
      <c r="A1" t="s">
        <v>223</v>
      </c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</row>
    <row r="2" spans="1:20">
      <c r="A2" t="s">
        <v>224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</row>
    <row r="3" spans="1:20">
      <c r="A3" s="298" t="s">
        <v>225</v>
      </c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9" t="s">
        <v>169</v>
      </c>
    </row>
  </sheetData>
  <pageMargins left="0.7" right="0.7" top="0.75" bottom="0.75" header="0.3" footer="0.3"/>
  <pageSetup paperSize="9" scale="33" orientation="portrait" r:id="rId1"/>
  <colBreaks count="1" manualBreakCount="1">
    <brk id="15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CC"/>
  </sheetPr>
  <dimension ref="A1:AC70"/>
  <sheetViews>
    <sheetView view="pageBreakPreview" zoomScale="60" zoomScaleNormal="80" workbookViewId="0">
      <selection activeCell="C39" sqref="C39"/>
    </sheetView>
  </sheetViews>
  <sheetFormatPr baseColWidth="10" defaultColWidth="8.83203125" defaultRowHeight="15"/>
  <cols>
    <col min="1" max="1" width="21.5" customWidth="1"/>
    <col min="2" max="2" width="14.5" customWidth="1"/>
    <col min="3" max="3" width="14.33203125" style="297" customWidth="1"/>
    <col min="4" max="4" width="14.1640625" style="297" customWidth="1"/>
    <col min="5" max="5" width="14.83203125" style="297" customWidth="1"/>
    <col min="6" max="6" width="11.83203125" style="297" customWidth="1"/>
    <col min="7" max="7" width="15.83203125" style="297" customWidth="1"/>
    <col min="8" max="8" width="13.5" style="297" customWidth="1"/>
    <col min="9" max="9" width="10" style="297" customWidth="1"/>
    <col min="10" max="28" width="8.5" style="297" customWidth="1"/>
  </cols>
  <sheetData>
    <row r="1" spans="1:29" ht="16" thickBot="1"/>
    <row r="2" spans="1:29" ht="48.75" customHeight="1" thickBot="1">
      <c r="A2" s="300" t="s">
        <v>226</v>
      </c>
      <c r="B2" s="321" t="s">
        <v>227</v>
      </c>
      <c r="C2" s="319" t="s">
        <v>228</v>
      </c>
      <c r="D2" s="301" t="s">
        <v>229</v>
      </c>
      <c r="E2" s="301" t="s">
        <v>230</v>
      </c>
      <c r="F2" s="326" t="s">
        <v>221</v>
      </c>
      <c r="G2" s="321" t="s">
        <v>231</v>
      </c>
      <c r="H2" s="330" t="s">
        <v>228</v>
      </c>
      <c r="I2" s="302" t="s">
        <v>221</v>
      </c>
      <c r="O2" s="303"/>
      <c r="P2" s="304"/>
      <c r="Q2" s="304"/>
      <c r="R2" s="305"/>
      <c r="S2" s="305"/>
      <c r="T2" s="305"/>
      <c r="U2" s="305"/>
      <c r="V2" s="305"/>
      <c r="W2" s="305"/>
      <c r="X2" s="305"/>
      <c r="Y2" s="304"/>
      <c r="Z2" s="304"/>
      <c r="AA2" s="305"/>
      <c r="AB2" s="305"/>
      <c r="AC2" s="305"/>
    </row>
    <row r="3" spans="1:29" ht="16">
      <c r="A3" s="306" t="s">
        <v>171</v>
      </c>
      <c r="B3" s="322"/>
      <c r="C3" s="320"/>
      <c r="D3" s="316"/>
      <c r="E3" s="316"/>
      <c r="F3" s="327"/>
      <c r="G3" s="331"/>
      <c r="H3" s="320"/>
      <c r="I3" s="316"/>
      <c r="O3" s="307"/>
      <c r="P3" s="308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29" ht="16">
      <c r="A4" s="310" t="s">
        <v>232</v>
      </c>
      <c r="B4" s="323" t="s">
        <v>233</v>
      </c>
      <c r="C4" s="318"/>
      <c r="D4" s="317"/>
      <c r="E4" s="317"/>
      <c r="F4" s="328"/>
      <c r="G4" s="324"/>
      <c r="H4" s="318"/>
      <c r="I4" s="317"/>
      <c r="O4" s="307"/>
      <c r="P4" s="311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</row>
    <row r="5" spans="1:29" ht="15.75" customHeight="1">
      <c r="A5" s="312" t="s">
        <v>234</v>
      </c>
      <c r="B5" s="324"/>
      <c r="C5" s="318"/>
      <c r="D5" s="317"/>
      <c r="E5" s="317"/>
      <c r="F5" s="328"/>
      <c r="G5" s="324"/>
      <c r="H5" s="318"/>
      <c r="I5" s="317"/>
      <c r="O5" s="307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</row>
    <row r="6" spans="1:29" ht="16">
      <c r="A6" s="312" t="s">
        <v>235</v>
      </c>
      <c r="B6" s="324"/>
      <c r="C6" s="318"/>
      <c r="D6" s="317"/>
      <c r="E6" s="317"/>
      <c r="F6" s="328"/>
      <c r="G6" s="324"/>
      <c r="H6" s="318"/>
      <c r="I6" s="317"/>
      <c r="O6" s="307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</row>
    <row r="7" spans="1:29" ht="16">
      <c r="A7" s="312" t="s">
        <v>236</v>
      </c>
      <c r="B7" s="324"/>
      <c r="C7" s="318"/>
      <c r="D7" s="317"/>
      <c r="E7" s="317"/>
      <c r="F7" s="328"/>
      <c r="G7" s="324"/>
      <c r="H7" s="318"/>
      <c r="I7" s="317"/>
      <c r="O7" s="307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</row>
    <row r="8" spans="1:29" ht="16">
      <c r="A8" s="312" t="s">
        <v>237</v>
      </c>
      <c r="B8" s="324"/>
      <c r="C8" s="318"/>
      <c r="D8" s="317"/>
      <c r="E8" s="317"/>
      <c r="F8" s="328"/>
      <c r="G8" s="324"/>
      <c r="H8" s="318"/>
      <c r="I8" s="317"/>
      <c r="O8" s="307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</row>
    <row r="9" spans="1:29" ht="16">
      <c r="A9" s="312" t="s">
        <v>238</v>
      </c>
      <c r="B9" s="324"/>
      <c r="C9" s="318"/>
      <c r="D9" s="317"/>
      <c r="E9" s="317"/>
      <c r="F9" s="328"/>
      <c r="G9" s="324"/>
      <c r="H9" s="318"/>
      <c r="I9" s="317"/>
      <c r="O9" s="307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</row>
    <row r="10" spans="1:29" ht="16">
      <c r="A10" s="312" t="s">
        <v>239</v>
      </c>
      <c r="B10" s="324"/>
      <c r="C10" s="318"/>
      <c r="D10" s="317"/>
      <c r="E10" s="317"/>
      <c r="F10" s="328"/>
      <c r="G10" s="324"/>
      <c r="H10" s="318"/>
      <c r="I10" s="317"/>
      <c r="O10" s="307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ht="16">
      <c r="A11" s="312" t="s">
        <v>240</v>
      </c>
      <c r="B11" s="324"/>
      <c r="C11" s="318"/>
      <c r="D11" s="317"/>
      <c r="E11" s="317"/>
      <c r="F11" s="328"/>
      <c r="G11" s="324"/>
      <c r="H11" s="318"/>
      <c r="I11" s="317"/>
      <c r="O11" s="307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ht="16">
      <c r="A12" s="312" t="s">
        <v>241</v>
      </c>
      <c r="B12" s="324"/>
      <c r="C12" s="318"/>
      <c r="D12" s="317"/>
      <c r="E12" s="317"/>
      <c r="F12" s="328"/>
      <c r="G12" s="324"/>
      <c r="H12" s="318"/>
      <c r="I12" s="317"/>
      <c r="O12" s="307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ht="16">
      <c r="A13" s="312" t="s">
        <v>242</v>
      </c>
      <c r="B13" s="324"/>
      <c r="C13" s="318"/>
      <c r="D13" s="317"/>
      <c r="E13" s="317"/>
      <c r="F13" s="328"/>
      <c r="G13" s="324"/>
      <c r="H13" s="318"/>
      <c r="I13" s="317"/>
      <c r="O13" s="307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ht="16">
      <c r="A14" s="312" t="s">
        <v>243</v>
      </c>
      <c r="B14" s="324"/>
      <c r="C14" s="318"/>
      <c r="D14" s="317"/>
      <c r="E14" s="317"/>
      <c r="F14" s="328"/>
      <c r="G14" s="324"/>
      <c r="H14" s="318"/>
      <c r="I14" s="317"/>
      <c r="O14" s="307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ht="16">
      <c r="A15" s="312" t="s">
        <v>244</v>
      </c>
      <c r="B15" s="324"/>
      <c r="C15" s="318"/>
      <c r="D15" s="317"/>
      <c r="E15" s="317"/>
      <c r="F15" s="328"/>
      <c r="G15" s="324"/>
      <c r="H15" s="318"/>
      <c r="I15" s="317"/>
      <c r="O15" s="307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ht="16">
      <c r="A16" s="312" t="s">
        <v>245</v>
      </c>
      <c r="B16" s="324"/>
      <c r="C16" s="318"/>
      <c r="D16" s="317"/>
      <c r="E16" s="317"/>
      <c r="F16" s="328"/>
      <c r="G16" s="324"/>
      <c r="H16" s="318"/>
      <c r="I16" s="317"/>
      <c r="O16" s="307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ht="16">
      <c r="A17" s="312" t="s">
        <v>246</v>
      </c>
      <c r="B17" s="324"/>
      <c r="C17" s="318"/>
      <c r="D17" s="317"/>
      <c r="E17" s="317"/>
      <c r="F17" s="328"/>
      <c r="G17" s="324"/>
      <c r="H17" s="318"/>
      <c r="I17" s="317"/>
      <c r="O17" s="307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ht="16">
      <c r="A18" s="312" t="s">
        <v>247</v>
      </c>
      <c r="B18" s="324"/>
      <c r="C18" s="318"/>
      <c r="D18" s="317"/>
      <c r="E18" s="317"/>
      <c r="F18" s="328"/>
      <c r="G18" s="324"/>
      <c r="H18" s="318"/>
      <c r="I18" s="317"/>
      <c r="O18" s="307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ht="16">
      <c r="A19" s="312" t="s">
        <v>248</v>
      </c>
      <c r="B19" s="324"/>
      <c r="C19" s="318"/>
      <c r="D19" s="317"/>
      <c r="E19" s="317"/>
      <c r="F19" s="328"/>
      <c r="G19" s="324"/>
      <c r="H19" s="318"/>
      <c r="I19" s="317"/>
      <c r="O19" s="307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ht="16">
      <c r="A20" s="312" t="s">
        <v>249</v>
      </c>
      <c r="B20" s="324"/>
      <c r="C20" s="318"/>
      <c r="D20" s="317"/>
      <c r="E20" s="317"/>
      <c r="F20" s="328"/>
      <c r="G20" s="324"/>
      <c r="H20" s="318"/>
      <c r="I20" s="317"/>
      <c r="O20" s="307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ht="16">
      <c r="A21" s="312" t="s">
        <v>250</v>
      </c>
      <c r="B21" s="324"/>
      <c r="C21" s="318"/>
      <c r="D21" s="317"/>
      <c r="E21" s="317"/>
      <c r="F21" s="328"/>
      <c r="G21" s="324"/>
      <c r="H21" s="318"/>
      <c r="I21" s="317"/>
      <c r="O21" s="307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ht="16">
      <c r="A22" s="312" t="s">
        <v>251</v>
      </c>
      <c r="B22" s="324"/>
      <c r="C22" s="318"/>
      <c r="D22" s="317"/>
      <c r="E22" s="317"/>
      <c r="F22" s="328"/>
      <c r="G22" s="324"/>
      <c r="H22" s="318"/>
      <c r="I22" s="317"/>
      <c r="O22" s="307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ht="16">
      <c r="A23" s="312" t="s">
        <v>252</v>
      </c>
      <c r="B23" s="324"/>
      <c r="C23" s="318"/>
      <c r="D23" s="317"/>
      <c r="E23" s="317"/>
      <c r="F23" s="328"/>
      <c r="G23" s="324"/>
      <c r="H23" s="318"/>
      <c r="I23" s="317"/>
      <c r="O23" s="307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ht="16">
      <c r="A24" s="312" t="s">
        <v>253</v>
      </c>
      <c r="B24" s="324"/>
      <c r="C24" s="318"/>
      <c r="D24" s="317"/>
      <c r="E24" s="317"/>
      <c r="F24" s="328"/>
      <c r="G24" s="324"/>
      <c r="H24" s="318"/>
      <c r="I24" s="317"/>
      <c r="O24" s="307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ht="16">
      <c r="A25" s="312" t="s">
        <v>254</v>
      </c>
      <c r="B25" s="324"/>
      <c r="C25" s="318"/>
      <c r="D25" s="317"/>
      <c r="E25" s="317"/>
      <c r="F25" s="328"/>
      <c r="G25" s="324"/>
      <c r="H25" s="318"/>
      <c r="I25" s="317"/>
      <c r="O25" s="307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ht="16">
      <c r="A26" s="312" t="s">
        <v>255</v>
      </c>
      <c r="B26" s="324"/>
      <c r="C26" s="318"/>
      <c r="D26" s="317"/>
      <c r="E26" s="317"/>
      <c r="F26" s="328"/>
      <c r="G26" s="324"/>
      <c r="H26" s="318"/>
      <c r="I26" s="317"/>
      <c r="O26" s="307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ht="16">
      <c r="A27" s="312" t="s">
        <v>256</v>
      </c>
      <c r="B27" s="324"/>
      <c r="C27" s="318"/>
      <c r="D27" s="317"/>
      <c r="E27" s="317"/>
      <c r="F27" s="328"/>
      <c r="G27" s="324"/>
      <c r="H27" s="318"/>
      <c r="I27" s="317"/>
      <c r="O27" s="307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ht="16">
      <c r="A28" s="312" t="s">
        <v>257</v>
      </c>
      <c r="B28" s="324"/>
      <c r="C28" s="318"/>
      <c r="D28" s="317"/>
      <c r="E28" s="317"/>
      <c r="F28" s="328"/>
      <c r="G28" s="324"/>
      <c r="H28" s="318"/>
      <c r="I28" s="317"/>
      <c r="O28" s="307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ht="16">
      <c r="A29" s="312" t="s">
        <v>258</v>
      </c>
      <c r="B29" s="324"/>
      <c r="C29" s="318"/>
      <c r="D29" s="317"/>
      <c r="E29" s="317"/>
      <c r="F29" s="328"/>
      <c r="G29" s="324"/>
      <c r="H29" s="318"/>
      <c r="I29" s="317"/>
      <c r="O29" s="307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ht="16">
      <c r="A30" s="312" t="s">
        <v>259</v>
      </c>
      <c r="B30" s="324"/>
      <c r="C30" s="318"/>
      <c r="D30" s="317"/>
      <c r="E30" s="317"/>
      <c r="F30" s="328"/>
      <c r="G30" s="324"/>
      <c r="H30" s="318"/>
      <c r="I30" s="317"/>
      <c r="O30" s="307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ht="16">
      <c r="A31" s="312" t="s">
        <v>260</v>
      </c>
      <c r="B31" s="324"/>
      <c r="C31" s="318"/>
      <c r="D31" s="317"/>
      <c r="E31" s="317"/>
      <c r="F31" s="328"/>
      <c r="G31" s="324"/>
      <c r="H31" s="318"/>
      <c r="I31" s="317"/>
      <c r="O31" s="307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ht="16">
      <c r="A32" s="312" t="s">
        <v>261</v>
      </c>
      <c r="B32" s="324"/>
      <c r="C32" s="318"/>
      <c r="D32" s="317"/>
      <c r="E32" s="317"/>
      <c r="F32" s="328"/>
      <c r="G32" s="324"/>
      <c r="H32" s="318"/>
      <c r="I32" s="317"/>
      <c r="O32" s="307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ht="16">
      <c r="A33" s="312" t="s">
        <v>262</v>
      </c>
      <c r="B33" s="324"/>
      <c r="C33" s="318"/>
      <c r="D33" s="317"/>
      <c r="E33" s="317"/>
      <c r="F33" s="328"/>
      <c r="G33" s="324"/>
      <c r="H33" s="318"/>
      <c r="I33" s="317"/>
      <c r="O33" s="307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7" thickBot="1">
      <c r="A34" s="313" t="s">
        <v>263</v>
      </c>
      <c r="B34" s="325"/>
      <c r="C34" s="314"/>
      <c r="D34" s="249"/>
      <c r="E34" s="249"/>
      <c r="F34" s="329"/>
      <c r="G34" s="325"/>
      <c r="H34" s="314"/>
      <c r="I34" s="249"/>
      <c r="O34" s="307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</row>
    <row r="37" spans="1:29" ht="16" thickBot="1"/>
    <row r="38" spans="1:29" ht="33" thickBot="1">
      <c r="A38" s="300" t="s">
        <v>264</v>
      </c>
      <c r="B38" s="321" t="s">
        <v>227</v>
      </c>
      <c r="C38" s="319" t="s">
        <v>228</v>
      </c>
      <c r="D38" s="301" t="s">
        <v>229</v>
      </c>
      <c r="E38" s="301" t="s">
        <v>230</v>
      </c>
      <c r="F38" s="326" t="s">
        <v>221</v>
      </c>
      <c r="G38" s="321" t="s">
        <v>231</v>
      </c>
      <c r="H38" s="330" t="s">
        <v>228</v>
      </c>
      <c r="I38" s="302" t="s">
        <v>221</v>
      </c>
    </row>
    <row r="39" spans="1:29" ht="16">
      <c r="A39" s="306" t="s">
        <v>171</v>
      </c>
      <c r="B39" s="322"/>
      <c r="C39" s="320"/>
      <c r="D39" s="316"/>
      <c r="E39" s="316"/>
      <c r="F39" s="327"/>
      <c r="G39" s="331"/>
      <c r="H39" s="320"/>
      <c r="I39" s="316"/>
    </row>
    <row r="40" spans="1:29" ht="16">
      <c r="A40" s="310" t="s">
        <v>232</v>
      </c>
      <c r="B40" s="323" t="s">
        <v>233</v>
      </c>
      <c r="C40" s="318"/>
      <c r="D40" s="317"/>
      <c r="E40" s="317"/>
      <c r="F40" s="328"/>
      <c r="G40" s="324"/>
      <c r="H40" s="318"/>
      <c r="I40" s="317"/>
    </row>
    <row r="41" spans="1:29" ht="16">
      <c r="A41" s="312" t="s">
        <v>234</v>
      </c>
      <c r="B41" s="324"/>
      <c r="C41" s="318"/>
      <c r="D41" s="317"/>
      <c r="E41" s="317"/>
      <c r="F41" s="328"/>
      <c r="G41" s="324"/>
      <c r="H41" s="318"/>
      <c r="I41" s="317"/>
    </row>
    <row r="42" spans="1:29" ht="16">
      <c r="A42" s="312" t="s">
        <v>235</v>
      </c>
      <c r="B42" s="324"/>
      <c r="C42" s="318"/>
      <c r="D42" s="317"/>
      <c r="E42" s="317"/>
      <c r="F42" s="328"/>
      <c r="G42" s="324"/>
      <c r="H42" s="318"/>
      <c r="I42" s="317"/>
    </row>
    <row r="43" spans="1:29" ht="16">
      <c r="A43" s="312" t="s">
        <v>236</v>
      </c>
      <c r="B43" s="324"/>
      <c r="C43" s="318"/>
      <c r="D43" s="317"/>
      <c r="E43" s="317"/>
      <c r="F43" s="328"/>
      <c r="G43" s="324"/>
      <c r="H43" s="318"/>
      <c r="I43" s="317"/>
    </row>
    <row r="44" spans="1:29" ht="16">
      <c r="A44" s="312" t="s">
        <v>237</v>
      </c>
      <c r="B44" s="324"/>
      <c r="C44" s="318"/>
      <c r="D44" s="317"/>
      <c r="E44" s="317"/>
      <c r="F44" s="328"/>
      <c r="G44" s="324"/>
      <c r="H44" s="318"/>
      <c r="I44" s="317"/>
    </row>
    <row r="45" spans="1:29" ht="16">
      <c r="A45" s="312" t="s">
        <v>238</v>
      </c>
      <c r="B45" s="324"/>
      <c r="C45" s="318"/>
      <c r="D45" s="317"/>
      <c r="E45" s="317"/>
      <c r="F45" s="328"/>
      <c r="G45" s="324"/>
      <c r="H45" s="318"/>
      <c r="I45" s="317"/>
    </row>
    <row r="46" spans="1:29" ht="16">
      <c r="A46" s="312" t="s">
        <v>239</v>
      </c>
      <c r="B46" s="324"/>
      <c r="C46" s="318"/>
      <c r="D46" s="317"/>
      <c r="E46" s="317"/>
      <c r="F46" s="328"/>
      <c r="G46" s="324"/>
      <c r="H46" s="318"/>
      <c r="I46" s="317"/>
    </row>
    <row r="47" spans="1:29" ht="16">
      <c r="A47" s="312" t="s">
        <v>240</v>
      </c>
      <c r="B47" s="324"/>
      <c r="C47" s="318"/>
      <c r="D47" s="317"/>
      <c r="E47" s="317"/>
      <c r="F47" s="328"/>
      <c r="G47" s="324"/>
      <c r="H47" s="318"/>
      <c r="I47" s="317"/>
    </row>
    <row r="48" spans="1:29" ht="16">
      <c r="A48" s="312" t="s">
        <v>241</v>
      </c>
      <c r="B48" s="324"/>
      <c r="C48" s="318"/>
      <c r="D48" s="317"/>
      <c r="E48" s="317"/>
      <c r="F48" s="328"/>
      <c r="G48" s="324"/>
      <c r="H48" s="318"/>
      <c r="I48" s="317"/>
    </row>
    <row r="49" spans="1:9" ht="16">
      <c r="A49" s="312" t="s">
        <v>242</v>
      </c>
      <c r="B49" s="324"/>
      <c r="C49" s="318"/>
      <c r="D49" s="317"/>
      <c r="E49" s="317"/>
      <c r="F49" s="328"/>
      <c r="G49" s="324"/>
      <c r="H49" s="318"/>
      <c r="I49" s="317"/>
    </row>
    <row r="50" spans="1:9" ht="16">
      <c r="A50" s="312" t="s">
        <v>243</v>
      </c>
      <c r="B50" s="324"/>
      <c r="C50" s="318"/>
      <c r="D50" s="317"/>
      <c r="E50" s="317"/>
      <c r="F50" s="328"/>
      <c r="G50" s="324"/>
      <c r="H50" s="318"/>
      <c r="I50" s="317"/>
    </row>
    <row r="51" spans="1:9" ht="16">
      <c r="A51" s="312" t="s">
        <v>244</v>
      </c>
      <c r="B51" s="324"/>
      <c r="C51" s="318"/>
      <c r="D51" s="317"/>
      <c r="E51" s="317"/>
      <c r="F51" s="328"/>
      <c r="G51" s="324"/>
      <c r="H51" s="318"/>
      <c r="I51" s="317"/>
    </row>
    <row r="52" spans="1:9" ht="16">
      <c r="A52" s="312" t="s">
        <v>245</v>
      </c>
      <c r="B52" s="324"/>
      <c r="C52" s="318"/>
      <c r="D52" s="317"/>
      <c r="E52" s="317"/>
      <c r="F52" s="328"/>
      <c r="G52" s="324"/>
      <c r="H52" s="318"/>
      <c r="I52" s="317"/>
    </row>
    <row r="53" spans="1:9" ht="16">
      <c r="A53" s="312" t="s">
        <v>246</v>
      </c>
      <c r="B53" s="324"/>
      <c r="C53" s="318"/>
      <c r="D53" s="317"/>
      <c r="E53" s="317"/>
      <c r="F53" s="328"/>
      <c r="G53" s="324"/>
      <c r="H53" s="318"/>
      <c r="I53" s="317"/>
    </row>
    <row r="54" spans="1:9" ht="16">
      <c r="A54" s="312" t="s">
        <v>247</v>
      </c>
      <c r="B54" s="324"/>
      <c r="C54" s="318"/>
      <c r="D54" s="317"/>
      <c r="E54" s="317"/>
      <c r="F54" s="328"/>
      <c r="G54" s="324"/>
      <c r="H54" s="318"/>
      <c r="I54" s="317"/>
    </row>
    <row r="55" spans="1:9" ht="16">
      <c r="A55" s="312" t="s">
        <v>248</v>
      </c>
      <c r="B55" s="324"/>
      <c r="C55" s="318"/>
      <c r="D55" s="317"/>
      <c r="E55" s="317"/>
      <c r="F55" s="328"/>
      <c r="G55" s="324"/>
      <c r="H55" s="318"/>
      <c r="I55" s="317"/>
    </row>
    <row r="56" spans="1:9" ht="16">
      <c r="A56" s="312" t="s">
        <v>249</v>
      </c>
      <c r="B56" s="324"/>
      <c r="C56" s="318"/>
      <c r="D56" s="317"/>
      <c r="E56" s="317"/>
      <c r="F56" s="328"/>
      <c r="G56" s="324"/>
      <c r="H56" s="318"/>
      <c r="I56" s="317"/>
    </row>
    <row r="57" spans="1:9" ht="16">
      <c r="A57" s="312" t="s">
        <v>250</v>
      </c>
      <c r="B57" s="324"/>
      <c r="C57" s="318"/>
      <c r="D57" s="317"/>
      <c r="E57" s="317"/>
      <c r="F57" s="328"/>
      <c r="G57" s="324"/>
      <c r="H57" s="318"/>
      <c r="I57" s="317"/>
    </row>
    <row r="58" spans="1:9" ht="16">
      <c r="A58" s="312" t="s">
        <v>251</v>
      </c>
      <c r="B58" s="324"/>
      <c r="C58" s="318"/>
      <c r="D58" s="317"/>
      <c r="E58" s="317"/>
      <c r="F58" s="328"/>
      <c r="G58" s="324"/>
      <c r="H58" s="318"/>
      <c r="I58" s="317"/>
    </row>
    <row r="59" spans="1:9" ht="16">
      <c r="A59" s="312" t="s">
        <v>252</v>
      </c>
      <c r="B59" s="324"/>
      <c r="C59" s="318"/>
      <c r="D59" s="317"/>
      <c r="E59" s="317"/>
      <c r="F59" s="328"/>
      <c r="G59" s="324"/>
      <c r="H59" s="318"/>
      <c r="I59" s="317"/>
    </row>
    <row r="60" spans="1:9" ht="16">
      <c r="A60" s="312" t="s">
        <v>253</v>
      </c>
      <c r="B60" s="324"/>
      <c r="C60" s="318"/>
      <c r="D60" s="317"/>
      <c r="E60" s="317"/>
      <c r="F60" s="328"/>
      <c r="G60" s="324"/>
      <c r="H60" s="318"/>
      <c r="I60" s="317"/>
    </row>
    <row r="61" spans="1:9" ht="16">
      <c r="A61" s="312" t="s">
        <v>254</v>
      </c>
      <c r="B61" s="324"/>
      <c r="C61" s="318"/>
      <c r="D61" s="317"/>
      <c r="E61" s="317"/>
      <c r="F61" s="328"/>
      <c r="G61" s="324"/>
      <c r="H61" s="318"/>
      <c r="I61" s="317"/>
    </row>
    <row r="62" spans="1:9" ht="16">
      <c r="A62" s="312" t="s">
        <v>255</v>
      </c>
      <c r="B62" s="324"/>
      <c r="C62" s="318"/>
      <c r="D62" s="317"/>
      <c r="E62" s="317"/>
      <c r="F62" s="328"/>
      <c r="G62" s="324"/>
      <c r="H62" s="318"/>
      <c r="I62" s="317"/>
    </row>
    <row r="63" spans="1:9" ht="16">
      <c r="A63" s="312" t="s">
        <v>256</v>
      </c>
      <c r="B63" s="324"/>
      <c r="C63" s="318"/>
      <c r="D63" s="317"/>
      <c r="E63" s="317"/>
      <c r="F63" s="328"/>
      <c r="G63" s="324"/>
      <c r="H63" s="318"/>
      <c r="I63" s="317"/>
    </row>
    <row r="64" spans="1:9" ht="16">
      <c r="A64" s="312" t="s">
        <v>257</v>
      </c>
      <c r="B64" s="324"/>
      <c r="C64" s="318"/>
      <c r="D64" s="317"/>
      <c r="E64" s="317"/>
      <c r="F64" s="328"/>
      <c r="G64" s="324"/>
      <c r="H64" s="318"/>
      <c r="I64" s="317"/>
    </row>
    <row r="65" spans="1:9" ht="16">
      <c r="A65" s="312" t="s">
        <v>258</v>
      </c>
      <c r="B65" s="324"/>
      <c r="C65" s="318"/>
      <c r="D65" s="317"/>
      <c r="E65" s="317"/>
      <c r="F65" s="328"/>
      <c r="G65" s="324"/>
      <c r="H65" s="318"/>
      <c r="I65" s="317"/>
    </row>
    <row r="66" spans="1:9" ht="16">
      <c r="A66" s="312" t="s">
        <v>259</v>
      </c>
      <c r="B66" s="324"/>
      <c r="C66" s="318"/>
      <c r="D66" s="317"/>
      <c r="E66" s="317"/>
      <c r="F66" s="328"/>
      <c r="G66" s="324"/>
      <c r="H66" s="318"/>
      <c r="I66" s="317"/>
    </row>
    <row r="67" spans="1:9" ht="16">
      <c r="A67" s="312" t="s">
        <v>260</v>
      </c>
      <c r="B67" s="324"/>
      <c r="C67" s="318"/>
      <c r="D67" s="317"/>
      <c r="E67" s="317"/>
      <c r="F67" s="328"/>
      <c r="G67" s="324"/>
      <c r="H67" s="318"/>
      <c r="I67" s="317"/>
    </row>
    <row r="68" spans="1:9" ht="16">
      <c r="A68" s="312" t="s">
        <v>261</v>
      </c>
      <c r="B68" s="324"/>
      <c r="C68" s="318"/>
      <c r="D68" s="317"/>
      <c r="E68" s="317"/>
      <c r="F68" s="328"/>
      <c r="G68" s="324"/>
      <c r="H68" s="318"/>
      <c r="I68" s="317"/>
    </row>
    <row r="69" spans="1:9" ht="16">
      <c r="A69" s="312" t="s">
        <v>262</v>
      </c>
      <c r="B69" s="324"/>
      <c r="C69" s="318"/>
      <c r="D69" s="317"/>
      <c r="E69" s="317"/>
      <c r="F69" s="328"/>
      <c r="G69" s="324"/>
      <c r="H69" s="318"/>
      <c r="I69" s="317"/>
    </row>
    <row r="70" spans="1:9" ht="17" thickBot="1">
      <c r="A70" s="313" t="s">
        <v>263</v>
      </c>
      <c r="B70" s="325"/>
      <c r="C70" s="314"/>
      <c r="D70" s="249"/>
      <c r="E70" s="249"/>
      <c r="F70" s="329"/>
      <c r="G70" s="325"/>
      <c r="H70" s="314"/>
      <c r="I70" s="249"/>
    </row>
  </sheetData>
  <pageMargins left="0.7" right="0.7" top="0.75" bottom="0.75" header="0.3" footer="0.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CC"/>
  </sheetPr>
  <dimension ref="A1:AC70"/>
  <sheetViews>
    <sheetView view="pageBreakPreview" zoomScale="60" zoomScaleNormal="100" workbookViewId="0">
      <selection activeCell="Q35" sqref="Q35"/>
    </sheetView>
  </sheetViews>
  <sheetFormatPr baseColWidth="10" defaultColWidth="8.83203125" defaultRowHeight="15"/>
  <cols>
    <col min="1" max="1" width="21.5" customWidth="1"/>
    <col min="2" max="2" width="14.5" customWidth="1"/>
    <col min="3" max="3" width="14.33203125" style="297" customWidth="1"/>
    <col min="4" max="4" width="14.1640625" style="297" customWidth="1"/>
    <col min="5" max="5" width="14.83203125" style="297" customWidth="1"/>
    <col min="6" max="6" width="11.83203125" style="297" customWidth="1"/>
    <col min="7" max="7" width="15.83203125" style="297" customWidth="1"/>
    <col min="8" max="8" width="13.5" style="297" customWidth="1"/>
    <col min="9" max="28" width="8.5" style="297" customWidth="1"/>
  </cols>
  <sheetData>
    <row r="1" spans="1:29" ht="16" thickBot="1"/>
    <row r="2" spans="1:29" ht="48.75" customHeight="1" thickBot="1">
      <c r="A2" s="300" t="s">
        <v>226</v>
      </c>
      <c r="B2" s="321" t="s">
        <v>227</v>
      </c>
      <c r="C2" s="319" t="s">
        <v>228</v>
      </c>
      <c r="D2" s="301" t="s">
        <v>229</v>
      </c>
      <c r="E2" s="301" t="s">
        <v>230</v>
      </c>
      <c r="F2" s="326" t="s">
        <v>221</v>
      </c>
      <c r="G2" s="321" t="s">
        <v>231</v>
      </c>
      <c r="H2" s="330" t="s">
        <v>228</v>
      </c>
      <c r="I2" s="302" t="s">
        <v>221</v>
      </c>
      <c r="O2" s="303"/>
      <c r="P2" s="304"/>
      <c r="Q2" s="304"/>
      <c r="R2" s="305"/>
      <c r="S2" s="305"/>
      <c r="T2" s="305"/>
      <c r="U2" s="305"/>
      <c r="V2" s="305"/>
      <c r="W2" s="305"/>
      <c r="X2" s="305"/>
      <c r="Y2" s="304"/>
      <c r="Z2" s="304"/>
      <c r="AA2" s="305"/>
      <c r="AB2" s="305"/>
      <c r="AC2" s="305"/>
    </row>
    <row r="3" spans="1:29" ht="16">
      <c r="A3" s="306" t="s">
        <v>171</v>
      </c>
      <c r="B3" s="322"/>
      <c r="C3" s="320"/>
      <c r="D3" s="316"/>
      <c r="E3" s="316"/>
      <c r="F3" s="327"/>
      <c r="G3" s="331"/>
      <c r="H3" s="320"/>
      <c r="I3" s="316"/>
      <c r="O3" s="307"/>
      <c r="P3" s="308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</row>
    <row r="4" spans="1:29" ht="16">
      <c r="A4" s="310" t="s">
        <v>232</v>
      </c>
      <c r="B4" s="323" t="s">
        <v>233</v>
      </c>
      <c r="C4" s="318"/>
      <c r="D4" s="317"/>
      <c r="E4" s="317"/>
      <c r="F4" s="328"/>
      <c r="G4" s="324"/>
      <c r="H4" s="318"/>
      <c r="I4" s="317"/>
      <c r="O4" s="307"/>
      <c r="P4" s="311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</row>
    <row r="5" spans="1:29" ht="15.75" customHeight="1">
      <c r="A5" s="312" t="s">
        <v>234</v>
      </c>
      <c r="B5" s="324"/>
      <c r="C5" s="318"/>
      <c r="D5" s="317"/>
      <c r="E5" s="317"/>
      <c r="F5" s="328"/>
      <c r="G5" s="324"/>
      <c r="H5" s="318"/>
      <c r="I5" s="317"/>
      <c r="O5" s="307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</row>
    <row r="6" spans="1:29" ht="16">
      <c r="A6" s="312" t="s">
        <v>235</v>
      </c>
      <c r="B6" s="324"/>
      <c r="C6" s="318"/>
      <c r="D6" s="317"/>
      <c r="E6" s="317"/>
      <c r="F6" s="328"/>
      <c r="G6" s="324"/>
      <c r="H6" s="318"/>
      <c r="I6" s="317"/>
      <c r="O6" s="307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</row>
    <row r="7" spans="1:29" ht="16">
      <c r="A7" s="312" t="s">
        <v>236</v>
      </c>
      <c r="B7" s="324"/>
      <c r="C7" s="318"/>
      <c r="D7" s="317"/>
      <c r="E7" s="317"/>
      <c r="F7" s="328"/>
      <c r="G7" s="324"/>
      <c r="H7" s="318"/>
      <c r="I7" s="317"/>
      <c r="O7" s="307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</row>
    <row r="8" spans="1:29" ht="16">
      <c r="A8" s="312" t="s">
        <v>237</v>
      </c>
      <c r="B8" s="324"/>
      <c r="C8" s="318"/>
      <c r="D8" s="317"/>
      <c r="E8" s="317"/>
      <c r="F8" s="328"/>
      <c r="G8" s="324"/>
      <c r="H8" s="318"/>
      <c r="I8" s="317"/>
      <c r="O8" s="307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</row>
    <row r="9" spans="1:29" ht="16">
      <c r="A9" s="312" t="s">
        <v>238</v>
      </c>
      <c r="B9" s="324"/>
      <c r="C9" s="318"/>
      <c r="D9" s="317"/>
      <c r="E9" s="317"/>
      <c r="F9" s="328"/>
      <c r="G9" s="324"/>
      <c r="H9" s="318"/>
      <c r="I9" s="317"/>
      <c r="O9" s="307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</row>
    <row r="10" spans="1:29" ht="16">
      <c r="A10" s="312" t="s">
        <v>239</v>
      </c>
      <c r="B10" s="324"/>
      <c r="C10" s="318"/>
      <c r="D10" s="317"/>
      <c r="E10" s="317"/>
      <c r="F10" s="328"/>
      <c r="G10" s="324"/>
      <c r="H10" s="318"/>
      <c r="I10" s="317"/>
      <c r="O10" s="307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ht="16">
      <c r="A11" s="312" t="s">
        <v>240</v>
      </c>
      <c r="B11" s="324"/>
      <c r="C11" s="318"/>
      <c r="D11" s="317"/>
      <c r="E11" s="317"/>
      <c r="F11" s="328"/>
      <c r="G11" s="324"/>
      <c r="H11" s="318"/>
      <c r="I11" s="317"/>
      <c r="O11" s="307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ht="16">
      <c r="A12" s="312" t="s">
        <v>241</v>
      </c>
      <c r="B12" s="324"/>
      <c r="C12" s="318"/>
      <c r="D12" s="317"/>
      <c r="E12" s="317"/>
      <c r="F12" s="328"/>
      <c r="G12" s="324"/>
      <c r="H12" s="318"/>
      <c r="I12" s="317"/>
      <c r="O12" s="307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ht="16">
      <c r="A13" s="312" t="s">
        <v>242</v>
      </c>
      <c r="B13" s="324"/>
      <c r="C13" s="318"/>
      <c r="D13" s="317"/>
      <c r="E13" s="317"/>
      <c r="F13" s="328"/>
      <c r="G13" s="324"/>
      <c r="H13" s="318"/>
      <c r="I13" s="317"/>
      <c r="O13" s="307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ht="16">
      <c r="A14" s="312" t="s">
        <v>243</v>
      </c>
      <c r="B14" s="324"/>
      <c r="C14" s="318"/>
      <c r="D14" s="317"/>
      <c r="E14" s="317"/>
      <c r="F14" s="328"/>
      <c r="G14" s="324"/>
      <c r="H14" s="318"/>
      <c r="I14" s="317"/>
      <c r="O14" s="307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ht="16">
      <c r="A15" s="312" t="s">
        <v>244</v>
      </c>
      <c r="B15" s="324"/>
      <c r="C15" s="318"/>
      <c r="D15" s="317"/>
      <c r="E15" s="317"/>
      <c r="F15" s="328"/>
      <c r="G15" s="324"/>
      <c r="H15" s="318"/>
      <c r="I15" s="317"/>
      <c r="O15" s="307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ht="16">
      <c r="A16" s="312" t="s">
        <v>245</v>
      </c>
      <c r="B16" s="324"/>
      <c r="C16" s="318"/>
      <c r="D16" s="317"/>
      <c r="E16" s="317"/>
      <c r="F16" s="328"/>
      <c r="G16" s="324"/>
      <c r="H16" s="318"/>
      <c r="I16" s="317"/>
      <c r="O16" s="307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ht="16">
      <c r="A17" s="312" t="s">
        <v>246</v>
      </c>
      <c r="B17" s="324"/>
      <c r="C17" s="318"/>
      <c r="D17" s="317"/>
      <c r="E17" s="317"/>
      <c r="F17" s="328"/>
      <c r="G17" s="324"/>
      <c r="H17" s="318"/>
      <c r="I17" s="317"/>
      <c r="O17" s="307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ht="16">
      <c r="A18" s="312" t="s">
        <v>247</v>
      </c>
      <c r="B18" s="324"/>
      <c r="C18" s="318"/>
      <c r="D18" s="317"/>
      <c r="E18" s="317"/>
      <c r="F18" s="328"/>
      <c r="G18" s="324"/>
      <c r="H18" s="318"/>
      <c r="I18" s="317"/>
      <c r="O18" s="307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ht="16">
      <c r="A19" s="312" t="s">
        <v>248</v>
      </c>
      <c r="B19" s="324"/>
      <c r="C19" s="318"/>
      <c r="D19" s="317"/>
      <c r="E19" s="317"/>
      <c r="F19" s="328"/>
      <c r="G19" s="324"/>
      <c r="H19" s="318"/>
      <c r="I19" s="317"/>
      <c r="O19" s="307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ht="16">
      <c r="A20" s="312" t="s">
        <v>249</v>
      </c>
      <c r="B20" s="324"/>
      <c r="C20" s="318"/>
      <c r="D20" s="317"/>
      <c r="E20" s="317"/>
      <c r="F20" s="328"/>
      <c r="G20" s="324"/>
      <c r="H20" s="318"/>
      <c r="I20" s="317"/>
      <c r="O20" s="307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ht="16">
      <c r="A21" s="312" t="s">
        <v>250</v>
      </c>
      <c r="B21" s="324"/>
      <c r="C21" s="318"/>
      <c r="D21" s="317"/>
      <c r="E21" s="317"/>
      <c r="F21" s="328"/>
      <c r="G21" s="324"/>
      <c r="H21" s="318"/>
      <c r="I21" s="317"/>
      <c r="O21" s="307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ht="16">
      <c r="A22" s="312" t="s">
        <v>251</v>
      </c>
      <c r="B22" s="324"/>
      <c r="C22" s="318"/>
      <c r="D22" s="317"/>
      <c r="E22" s="317"/>
      <c r="F22" s="328"/>
      <c r="G22" s="324"/>
      <c r="H22" s="318"/>
      <c r="I22" s="317"/>
      <c r="O22" s="307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ht="16">
      <c r="A23" s="312" t="s">
        <v>252</v>
      </c>
      <c r="B23" s="324"/>
      <c r="C23" s="318"/>
      <c r="D23" s="317"/>
      <c r="E23" s="317"/>
      <c r="F23" s="328"/>
      <c r="G23" s="324"/>
      <c r="H23" s="318"/>
      <c r="I23" s="317"/>
      <c r="O23" s="307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ht="16">
      <c r="A24" s="312" t="s">
        <v>253</v>
      </c>
      <c r="B24" s="324"/>
      <c r="C24" s="318"/>
      <c r="D24" s="317"/>
      <c r="E24" s="317"/>
      <c r="F24" s="328"/>
      <c r="G24" s="324"/>
      <c r="H24" s="318"/>
      <c r="I24" s="317"/>
      <c r="O24" s="307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ht="16">
      <c r="A25" s="312" t="s">
        <v>254</v>
      </c>
      <c r="B25" s="324"/>
      <c r="C25" s="318"/>
      <c r="D25" s="317"/>
      <c r="E25" s="317"/>
      <c r="F25" s="328"/>
      <c r="G25" s="324"/>
      <c r="H25" s="318"/>
      <c r="I25" s="317"/>
      <c r="O25" s="307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ht="16">
      <c r="A26" s="312" t="s">
        <v>255</v>
      </c>
      <c r="B26" s="324"/>
      <c r="C26" s="318"/>
      <c r="D26" s="317"/>
      <c r="E26" s="317"/>
      <c r="F26" s="328"/>
      <c r="G26" s="324"/>
      <c r="H26" s="318"/>
      <c r="I26" s="317"/>
      <c r="O26" s="307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ht="16">
      <c r="A27" s="312" t="s">
        <v>256</v>
      </c>
      <c r="B27" s="324"/>
      <c r="C27" s="318"/>
      <c r="D27" s="317"/>
      <c r="E27" s="317"/>
      <c r="F27" s="328"/>
      <c r="G27" s="324"/>
      <c r="H27" s="318"/>
      <c r="I27" s="317"/>
      <c r="O27" s="307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ht="16">
      <c r="A28" s="312" t="s">
        <v>257</v>
      </c>
      <c r="B28" s="324"/>
      <c r="C28" s="318"/>
      <c r="D28" s="317"/>
      <c r="E28" s="317"/>
      <c r="F28" s="328"/>
      <c r="G28" s="324"/>
      <c r="H28" s="318"/>
      <c r="I28" s="317"/>
      <c r="O28" s="307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ht="16">
      <c r="A29" s="312" t="s">
        <v>258</v>
      </c>
      <c r="B29" s="324"/>
      <c r="C29" s="318"/>
      <c r="D29" s="317"/>
      <c r="E29" s="317"/>
      <c r="F29" s="328"/>
      <c r="G29" s="324"/>
      <c r="H29" s="318"/>
      <c r="I29" s="317"/>
      <c r="O29" s="307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ht="16">
      <c r="A30" s="312" t="s">
        <v>259</v>
      </c>
      <c r="B30" s="324"/>
      <c r="C30" s="318"/>
      <c r="D30" s="317"/>
      <c r="E30" s="317"/>
      <c r="F30" s="328"/>
      <c r="G30" s="324"/>
      <c r="H30" s="318"/>
      <c r="I30" s="317"/>
      <c r="O30" s="307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ht="16">
      <c r="A31" s="312" t="s">
        <v>260</v>
      </c>
      <c r="B31" s="324"/>
      <c r="C31" s="318"/>
      <c r="D31" s="317"/>
      <c r="E31" s="317"/>
      <c r="F31" s="328"/>
      <c r="G31" s="324"/>
      <c r="H31" s="318"/>
      <c r="I31" s="317"/>
      <c r="O31" s="307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ht="16">
      <c r="A32" s="312" t="s">
        <v>261</v>
      </c>
      <c r="B32" s="324"/>
      <c r="C32" s="318"/>
      <c r="D32" s="317"/>
      <c r="E32" s="317"/>
      <c r="F32" s="328"/>
      <c r="G32" s="324"/>
      <c r="H32" s="318"/>
      <c r="I32" s="317"/>
      <c r="O32" s="307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ht="16">
      <c r="A33" s="312" t="s">
        <v>262</v>
      </c>
      <c r="B33" s="324"/>
      <c r="C33" s="318"/>
      <c r="D33" s="317"/>
      <c r="E33" s="317"/>
      <c r="F33" s="328"/>
      <c r="G33" s="324"/>
      <c r="H33" s="318"/>
      <c r="I33" s="317"/>
      <c r="O33" s="307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7" thickBot="1">
      <c r="A34" s="313" t="s">
        <v>263</v>
      </c>
      <c r="B34" s="325"/>
      <c r="C34" s="314"/>
      <c r="D34" s="249"/>
      <c r="E34" s="249"/>
      <c r="F34" s="329"/>
      <c r="G34" s="325"/>
      <c r="H34" s="314"/>
      <c r="I34" s="249"/>
      <c r="O34" s="307"/>
      <c r="P34" s="308"/>
      <c r="Q34" s="308"/>
      <c r="R34" s="308"/>
      <c r="S34" s="308"/>
      <c r="T34" s="308"/>
      <c r="U34" s="308"/>
      <c r="V34" s="308"/>
      <c r="W34" s="308"/>
      <c r="X34" s="308"/>
      <c r="Y34" s="308"/>
      <c r="Z34" s="308"/>
      <c r="AA34" s="308"/>
      <c r="AB34" s="308"/>
      <c r="AC34" s="308"/>
    </row>
    <row r="37" spans="1:29" ht="16" thickBot="1"/>
    <row r="38" spans="1:29" ht="33" thickBot="1">
      <c r="A38" s="300" t="s">
        <v>264</v>
      </c>
      <c r="B38" s="321" t="s">
        <v>227</v>
      </c>
      <c r="C38" s="319" t="s">
        <v>228</v>
      </c>
      <c r="D38" s="301" t="s">
        <v>229</v>
      </c>
      <c r="E38" s="301" t="s">
        <v>230</v>
      </c>
      <c r="F38" s="326" t="s">
        <v>221</v>
      </c>
      <c r="G38" s="321" t="s">
        <v>231</v>
      </c>
      <c r="H38" s="330" t="s">
        <v>228</v>
      </c>
      <c r="I38" s="302" t="s">
        <v>221</v>
      </c>
    </row>
    <row r="39" spans="1:29" ht="16">
      <c r="A39" s="306" t="s">
        <v>171</v>
      </c>
      <c r="B39" s="322"/>
      <c r="C39" s="320"/>
      <c r="D39" s="316"/>
      <c r="E39" s="316"/>
      <c r="F39" s="327"/>
      <c r="G39" s="331"/>
      <c r="H39" s="320"/>
      <c r="I39" s="316"/>
    </row>
    <row r="40" spans="1:29" ht="16">
      <c r="A40" s="310" t="s">
        <v>232</v>
      </c>
      <c r="B40" s="323" t="s">
        <v>233</v>
      </c>
      <c r="C40" s="318"/>
      <c r="D40" s="317"/>
      <c r="E40" s="317"/>
      <c r="F40" s="328"/>
      <c r="G40" s="324"/>
      <c r="H40" s="318"/>
      <c r="I40" s="317"/>
    </row>
    <row r="41" spans="1:29" ht="16">
      <c r="A41" s="312" t="s">
        <v>234</v>
      </c>
      <c r="B41" s="324"/>
      <c r="C41" s="318"/>
      <c r="D41" s="317"/>
      <c r="E41" s="317"/>
      <c r="F41" s="328"/>
      <c r="G41" s="324"/>
      <c r="H41" s="318"/>
      <c r="I41" s="317"/>
    </row>
    <row r="42" spans="1:29" ht="16">
      <c r="A42" s="312" t="s">
        <v>235</v>
      </c>
      <c r="B42" s="324"/>
      <c r="C42" s="318"/>
      <c r="D42" s="317"/>
      <c r="E42" s="317"/>
      <c r="F42" s="328"/>
      <c r="G42" s="324"/>
      <c r="H42" s="318"/>
      <c r="I42" s="317"/>
    </row>
    <row r="43" spans="1:29" ht="16">
      <c r="A43" s="312" t="s">
        <v>236</v>
      </c>
      <c r="B43" s="324"/>
      <c r="C43" s="318"/>
      <c r="D43" s="317"/>
      <c r="E43" s="317"/>
      <c r="F43" s="328"/>
      <c r="G43" s="324"/>
      <c r="H43" s="318"/>
      <c r="I43" s="317"/>
    </row>
    <row r="44" spans="1:29" ht="16">
      <c r="A44" s="312" t="s">
        <v>237</v>
      </c>
      <c r="B44" s="324"/>
      <c r="C44" s="318"/>
      <c r="D44" s="317"/>
      <c r="E44" s="317"/>
      <c r="F44" s="328"/>
      <c r="G44" s="324"/>
      <c r="H44" s="318"/>
      <c r="I44" s="317"/>
    </row>
    <row r="45" spans="1:29" ht="16">
      <c r="A45" s="312" t="s">
        <v>238</v>
      </c>
      <c r="B45" s="324"/>
      <c r="C45" s="318"/>
      <c r="D45" s="317"/>
      <c r="E45" s="317"/>
      <c r="F45" s="328"/>
      <c r="G45" s="324"/>
      <c r="H45" s="318"/>
      <c r="I45" s="317"/>
    </row>
    <row r="46" spans="1:29" ht="16">
      <c r="A46" s="312" t="s">
        <v>239</v>
      </c>
      <c r="B46" s="324"/>
      <c r="C46" s="318"/>
      <c r="D46" s="317"/>
      <c r="E46" s="317"/>
      <c r="F46" s="328"/>
      <c r="G46" s="324"/>
      <c r="H46" s="318"/>
      <c r="I46" s="317"/>
    </row>
    <row r="47" spans="1:29" ht="16">
      <c r="A47" s="312" t="s">
        <v>240</v>
      </c>
      <c r="B47" s="324"/>
      <c r="C47" s="318"/>
      <c r="D47" s="317"/>
      <c r="E47" s="317"/>
      <c r="F47" s="328"/>
      <c r="G47" s="324"/>
      <c r="H47" s="318"/>
      <c r="I47" s="317"/>
    </row>
    <row r="48" spans="1:29" ht="16">
      <c r="A48" s="312" t="s">
        <v>241</v>
      </c>
      <c r="B48" s="324"/>
      <c r="C48" s="318"/>
      <c r="D48" s="317"/>
      <c r="E48" s="317"/>
      <c r="F48" s="328"/>
      <c r="G48" s="324"/>
      <c r="H48" s="318"/>
      <c r="I48" s="317"/>
    </row>
    <row r="49" spans="1:9" ht="16">
      <c r="A49" s="312" t="s">
        <v>242</v>
      </c>
      <c r="B49" s="324"/>
      <c r="C49" s="318"/>
      <c r="D49" s="317"/>
      <c r="E49" s="317"/>
      <c r="F49" s="328"/>
      <c r="G49" s="324"/>
      <c r="H49" s="318"/>
      <c r="I49" s="317"/>
    </row>
    <row r="50" spans="1:9" ht="16">
      <c r="A50" s="312" t="s">
        <v>243</v>
      </c>
      <c r="B50" s="324"/>
      <c r="C50" s="318"/>
      <c r="D50" s="317"/>
      <c r="E50" s="317"/>
      <c r="F50" s="328"/>
      <c r="G50" s="324"/>
      <c r="H50" s="318"/>
      <c r="I50" s="317"/>
    </row>
    <row r="51" spans="1:9" ht="16">
      <c r="A51" s="312" t="s">
        <v>244</v>
      </c>
      <c r="B51" s="324"/>
      <c r="C51" s="318"/>
      <c r="D51" s="317"/>
      <c r="E51" s="317"/>
      <c r="F51" s="328"/>
      <c r="G51" s="324"/>
      <c r="H51" s="318"/>
      <c r="I51" s="317"/>
    </row>
    <row r="52" spans="1:9" ht="16">
      <c r="A52" s="312" t="s">
        <v>245</v>
      </c>
      <c r="B52" s="324"/>
      <c r="C52" s="318"/>
      <c r="D52" s="317"/>
      <c r="E52" s="317"/>
      <c r="F52" s="328"/>
      <c r="G52" s="324"/>
      <c r="H52" s="318"/>
      <c r="I52" s="317"/>
    </row>
    <row r="53" spans="1:9" ht="16">
      <c r="A53" s="312" t="s">
        <v>246</v>
      </c>
      <c r="B53" s="324"/>
      <c r="C53" s="318"/>
      <c r="D53" s="317"/>
      <c r="E53" s="317"/>
      <c r="F53" s="328"/>
      <c r="G53" s="324"/>
      <c r="H53" s="318"/>
      <c r="I53" s="317"/>
    </row>
    <row r="54" spans="1:9" ht="16">
      <c r="A54" s="312" t="s">
        <v>247</v>
      </c>
      <c r="B54" s="324"/>
      <c r="C54" s="318"/>
      <c r="D54" s="317"/>
      <c r="E54" s="317"/>
      <c r="F54" s="328"/>
      <c r="G54" s="324"/>
      <c r="H54" s="318"/>
      <c r="I54" s="317"/>
    </row>
    <row r="55" spans="1:9" ht="16">
      <c r="A55" s="312" t="s">
        <v>248</v>
      </c>
      <c r="B55" s="324"/>
      <c r="C55" s="318"/>
      <c r="D55" s="317"/>
      <c r="E55" s="317"/>
      <c r="F55" s="328"/>
      <c r="G55" s="324"/>
      <c r="H55" s="318"/>
      <c r="I55" s="317"/>
    </row>
    <row r="56" spans="1:9" ht="16">
      <c r="A56" s="312" t="s">
        <v>249</v>
      </c>
      <c r="B56" s="324"/>
      <c r="C56" s="318"/>
      <c r="D56" s="317"/>
      <c r="E56" s="317"/>
      <c r="F56" s="328"/>
      <c r="G56" s="324"/>
      <c r="H56" s="318"/>
      <c r="I56" s="317"/>
    </row>
    <row r="57" spans="1:9" ht="16">
      <c r="A57" s="312" t="s">
        <v>250</v>
      </c>
      <c r="B57" s="324"/>
      <c r="C57" s="318"/>
      <c r="D57" s="317"/>
      <c r="E57" s="317"/>
      <c r="F57" s="328"/>
      <c r="G57" s="324"/>
      <c r="H57" s="318"/>
      <c r="I57" s="317"/>
    </row>
    <row r="58" spans="1:9" ht="16">
      <c r="A58" s="312" t="s">
        <v>251</v>
      </c>
      <c r="B58" s="324"/>
      <c r="C58" s="318"/>
      <c r="D58" s="317"/>
      <c r="E58" s="317"/>
      <c r="F58" s="328"/>
      <c r="G58" s="324"/>
      <c r="H58" s="318"/>
      <c r="I58" s="317"/>
    </row>
    <row r="59" spans="1:9" ht="16">
      <c r="A59" s="312" t="s">
        <v>252</v>
      </c>
      <c r="B59" s="324"/>
      <c r="C59" s="318"/>
      <c r="D59" s="317"/>
      <c r="E59" s="317"/>
      <c r="F59" s="328"/>
      <c r="G59" s="324"/>
      <c r="H59" s="318"/>
      <c r="I59" s="317"/>
    </row>
    <row r="60" spans="1:9" ht="16">
      <c r="A60" s="312" t="s">
        <v>253</v>
      </c>
      <c r="B60" s="324"/>
      <c r="C60" s="318"/>
      <c r="D60" s="317"/>
      <c r="E60" s="317"/>
      <c r="F60" s="328"/>
      <c r="G60" s="324"/>
      <c r="H60" s="318"/>
      <c r="I60" s="317"/>
    </row>
    <row r="61" spans="1:9" ht="16">
      <c r="A61" s="312" t="s">
        <v>254</v>
      </c>
      <c r="B61" s="324"/>
      <c r="C61" s="318"/>
      <c r="D61" s="317"/>
      <c r="E61" s="317"/>
      <c r="F61" s="328"/>
      <c r="G61" s="324"/>
      <c r="H61" s="318"/>
      <c r="I61" s="317"/>
    </row>
    <row r="62" spans="1:9" ht="16">
      <c r="A62" s="312" t="s">
        <v>255</v>
      </c>
      <c r="B62" s="324"/>
      <c r="C62" s="318"/>
      <c r="D62" s="317"/>
      <c r="E62" s="317"/>
      <c r="F62" s="328"/>
      <c r="G62" s="324"/>
      <c r="H62" s="318"/>
      <c r="I62" s="317"/>
    </row>
    <row r="63" spans="1:9" ht="16">
      <c r="A63" s="312" t="s">
        <v>256</v>
      </c>
      <c r="B63" s="324"/>
      <c r="C63" s="318"/>
      <c r="D63" s="317"/>
      <c r="E63" s="317"/>
      <c r="F63" s="328"/>
      <c r="G63" s="324"/>
      <c r="H63" s="318"/>
      <c r="I63" s="317"/>
    </row>
    <row r="64" spans="1:9" ht="16">
      <c r="A64" s="312" t="s">
        <v>257</v>
      </c>
      <c r="B64" s="324"/>
      <c r="C64" s="318"/>
      <c r="D64" s="317"/>
      <c r="E64" s="317"/>
      <c r="F64" s="328"/>
      <c r="G64" s="324"/>
      <c r="H64" s="318"/>
      <c r="I64" s="317"/>
    </row>
    <row r="65" spans="1:9" ht="16">
      <c r="A65" s="312" t="s">
        <v>258</v>
      </c>
      <c r="B65" s="324"/>
      <c r="C65" s="318"/>
      <c r="D65" s="317"/>
      <c r="E65" s="317"/>
      <c r="F65" s="328"/>
      <c r="G65" s="324"/>
      <c r="H65" s="318"/>
      <c r="I65" s="317"/>
    </row>
    <row r="66" spans="1:9" ht="16">
      <c r="A66" s="312" t="s">
        <v>259</v>
      </c>
      <c r="B66" s="324"/>
      <c r="C66" s="318"/>
      <c r="D66" s="317"/>
      <c r="E66" s="317"/>
      <c r="F66" s="328"/>
      <c r="G66" s="324"/>
      <c r="H66" s="318"/>
      <c r="I66" s="317"/>
    </row>
    <row r="67" spans="1:9" ht="16">
      <c r="A67" s="312" t="s">
        <v>260</v>
      </c>
      <c r="B67" s="324"/>
      <c r="C67" s="318"/>
      <c r="D67" s="317"/>
      <c r="E67" s="317"/>
      <c r="F67" s="328"/>
      <c r="G67" s="324"/>
      <c r="H67" s="318"/>
      <c r="I67" s="317"/>
    </row>
    <row r="68" spans="1:9" ht="16">
      <c r="A68" s="312" t="s">
        <v>261</v>
      </c>
      <c r="B68" s="324"/>
      <c r="C68" s="318"/>
      <c r="D68" s="317"/>
      <c r="E68" s="317"/>
      <c r="F68" s="328"/>
      <c r="G68" s="324"/>
      <c r="H68" s="318"/>
      <c r="I68" s="317"/>
    </row>
    <row r="69" spans="1:9" ht="16">
      <c r="A69" s="312" t="s">
        <v>262</v>
      </c>
      <c r="B69" s="324"/>
      <c r="C69" s="318"/>
      <c r="D69" s="317"/>
      <c r="E69" s="317"/>
      <c r="F69" s="328"/>
      <c r="G69" s="324"/>
      <c r="H69" s="318"/>
      <c r="I69" s="317"/>
    </row>
    <row r="70" spans="1:9" ht="17" thickBot="1">
      <c r="A70" s="313" t="s">
        <v>263</v>
      </c>
      <c r="B70" s="325"/>
      <c r="C70" s="314"/>
      <c r="D70" s="249"/>
      <c r="E70" s="249"/>
      <c r="F70" s="329"/>
      <c r="G70" s="325"/>
      <c r="H70" s="314"/>
      <c r="I70" s="249"/>
    </row>
  </sheetData>
  <pageMargins left="0.7" right="0.7" top="0.75" bottom="0.75" header="0.3" footer="0.3"/>
  <pageSetup paperSize="9" scale="6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CC"/>
  </sheetPr>
  <dimension ref="A1:I138"/>
  <sheetViews>
    <sheetView view="pageBreakPreview" zoomScale="80" zoomScaleNormal="80" zoomScaleSheetLayoutView="80" workbookViewId="0">
      <selection activeCell="N18" sqref="N18"/>
    </sheetView>
  </sheetViews>
  <sheetFormatPr baseColWidth="10" defaultColWidth="8.83203125" defaultRowHeight="15"/>
  <cols>
    <col min="1" max="1" width="26" customWidth="1"/>
    <col min="2" max="2" width="11.5" customWidth="1"/>
    <col min="4" max="4" width="20.83203125" customWidth="1"/>
    <col min="6" max="8" width="12.5" bestFit="1" customWidth="1"/>
    <col min="9" max="9" width="13.1640625" bestFit="1" customWidth="1"/>
  </cols>
  <sheetData>
    <row r="1" spans="1:9" ht="16" thickBot="1"/>
    <row r="2" spans="1:9">
      <c r="A2" s="762" t="str">
        <f>'Parametre - Agendové IS'!G1</f>
        <v>Ušetrené hospitalizačné dni</v>
      </c>
      <c r="B2" s="763"/>
      <c r="C2" s="764"/>
      <c r="D2" s="768" t="s">
        <v>107</v>
      </c>
      <c r="E2" s="769"/>
      <c r="F2" s="360" t="s">
        <v>166</v>
      </c>
      <c r="G2" s="360" t="s">
        <v>167</v>
      </c>
      <c r="H2" s="360" t="s">
        <v>168</v>
      </c>
      <c r="I2" s="360" t="s">
        <v>170</v>
      </c>
    </row>
    <row r="3" spans="1:9" ht="16" thickBot="1">
      <c r="A3" s="765"/>
      <c r="B3" s="766"/>
      <c r="C3" s="767"/>
      <c r="D3" s="549" t="s">
        <v>356</v>
      </c>
      <c r="E3" s="550" t="s">
        <v>169</v>
      </c>
      <c r="F3" s="182" t="s">
        <v>169</v>
      </c>
      <c r="G3" s="182" t="s">
        <v>169</v>
      </c>
      <c r="H3" s="182" t="s">
        <v>169</v>
      </c>
      <c r="I3" s="182" t="s">
        <v>169</v>
      </c>
    </row>
    <row r="4" spans="1:9" ht="15" customHeight="1">
      <c r="A4" s="756" t="s">
        <v>43</v>
      </c>
      <c r="B4" s="759" t="s">
        <v>187</v>
      </c>
      <c r="C4" s="183" t="s">
        <v>25</v>
      </c>
      <c r="D4" s="551" t="str">
        <f>IF(E4='Parametre - Agendové IS'!H86,"OK","Chyba počtu FTE")</f>
        <v>OK</v>
      </c>
      <c r="E4" s="552">
        <f t="shared" ref="E4:E33" si="0">F4+G4+H4+I4</f>
        <v>0</v>
      </c>
      <c r="F4" s="248"/>
      <c r="G4" s="248"/>
      <c r="H4" s="248"/>
      <c r="I4" s="248"/>
    </row>
    <row r="5" spans="1:9">
      <c r="A5" s="757"/>
      <c r="B5" s="760"/>
      <c r="C5" s="180" t="s">
        <v>26</v>
      </c>
      <c r="D5" s="553" t="str">
        <f>IF(E5='Parametre - Agendové IS'!H87,"OK","Chyba počtu FTE")</f>
        <v>OK</v>
      </c>
      <c r="E5" s="554">
        <f t="shared" si="0"/>
        <v>0</v>
      </c>
      <c r="F5" s="249"/>
      <c r="G5" s="249"/>
      <c r="H5" s="249"/>
      <c r="I5" s="249"/>
    </row>
    <row r="6" spans="1:9">
      <c r="A6" s="757"/>
      <c r="B6" s="760"/>
      <c r="C6" s="180" t="s">
        <v>27</v>
      </c>
      <c r="D6" s="553" t="str">
        <f>IF(E6='Parametre - Agendové IS'!H88,"OK","Chyba počtu FTE")</f>
        <v>OK</v>
      </c>
      <c r="E6" s="554">
        <f t="shared" si="0"/>
        <v>0</v>
      </c>
      <c r="F6" s="249"/>
      <c r="G6" s="249"/>
      <c r="H6" s="249"/>
      <c r="I6" s="249"/>
    </row>
    <row r="7" spans="1:9">
      <c r="A7" s="757"/>
      <c r="B7" s="760"/>
      <c r="C7" s="180" t="s">
        <v>28</v>
      </c>
      <c r="D7" s="553" t="str">
        <f>IF(E7='Parametre - Agendové IS'!H89,"OK","Chyba počtu FTE")</f>
        <v>OK</v>
      </c>
      <c r="E7" s="554">
        <f t="shared" si="0"/>
        <v>0</v>
      </c>
      <c r="F7" s="249"/>
      <c r="G7" s="249"/>
      <c r="H7" s="249"/>
      <c r="I7" s="249"/>
    </row>
    <row r="8" spans="1:9">
      <c r="A8" s="757"/>
      <c r="B8" s="760"/>
      <c r="C8" s="180" t="s">
        <v>29</v>
      </c>
      <c r="D8" s="553" t="str">
        <f>IF(E8='Parametre - Agendové IS'!H90,"OK","Chyba počtu FTE")</f>
        <v>OK</v>
      </c>
      <c r="E8" s="554">
        <f t="shared" si="0"/>
        <v>0</v>
      </c>
      <c r="F8" s="249"/>
      <c r="G8" s="249"/>
      <c r="H8" s="249"/>
      <c r="I8" s="249"/>
    </row>
    <row r="9" spans="1:9">
      <c r="A9" s="757"/>
      <c r="B9" s="760"/>
      <c r="C9" s="180" t="s">
        <v>30</v>
      </c>
      <c r="D9" s="553" t="str">
        <f>IF(E9='Parametre - Agendové IS'!H91,"OK","Chyba počtu FTE")</f>
        <v>OK</v>
      </c>
      <c r="E9" s="554">
        <f t="shared" si="0"/>
        <v>0</v>
      </c>
      <c r="F9" s="249"/>
      <c r="G9" s="249"/>
      <c r="H9" s="249"/>
      <c r="I9" s="249"/>
    </row>
    <row r="10" spans="1:9">
      <c r="A10" s="757"/>
      <c r="B10" s="760"/>
      <c r="C10" s="180" t="s">
        <v>31</v>
      </c>
      <c r="D10" s="553" t="str">
        <f>IF(E10='Parametre - Agendové IS'!H92,"OK","Chyba počtu FTE")</f>
        <v>OK</v>
      </c>
      <c r="E10" s="554">
        <f t="shared" si="0"/>
        <v>0</v>
      </c>
      <c r="F10" s="249"/>
      <c r="G10" s="249"/>
      <c r="H10" s="249"/>
      <c r="I10" s="249"/>
    </row>
    <row r="11" spans="1:9">
      <c r="A11" s="757"/>
      <c r="B11" s="760"/>
      <c r="C11" s="180" t="s">
        <v>32</v>
      </c>
      <c r="D11" s="553" t="str">
        <f>IF(E11='Parametre - Agendové IS'!H93,"OK","Chyba počtu FTE")</f>
        <v>OK</v>
      </c>
      <c r="E11" s="554">
        <f t="shared" si="0"/>
        <v>0</v>
      </c>
      <c r="F11" s="249"/>
      <c r="G11" s="249"/>
      <c r="H11" s="249"/>
      <c r="I11" s="249"/>
    </row>
    <row r="12" spans="1:9">
      <c r="A12" s="757"/>
      <c r="B12" s="760"/>
      <c r="C12" s="180" t="s">
        <v>33</v>
      </c>
      <c r="D12" s="553" t="str">
        <f>IF(E12='Parametre - Agendové IS'!H94,"OK","Chyba počtu FTE")</f>
        <v>OK</v>
      </c>
      <c r="E12" s="554">
        <f t="shared" si="0"/>
        <v>0</v>
      </c>
      <c r="F12" s="249"/>
      <c r="G12" s="249"/>
      <c r="H12" s="249"/>
      <c r="I12" s="249"/>
    </row>
    <row r="13" spans="1:9" ht="16" thickBot="1">
      <c r="A13" s="757"/>
      <c r="B13" s="760"/>
      <c r="C13" s="180" t="s">
        <v>34</v>
      </c>
      <c r="D13" s="555" t="str">
        <f>IF(E13='Parametre - Agendové IS'!H95,"OK","Chyba počtu FTE")</f>
        <v>OK</v>
      </c>
      <c r="E13" s="556">
        <f t="shared" si="0"/>
        <v>0</v>
      </c>
      <c r="F13" s="250"/>
      <c r="G13" s="250"/>
      <c r="H13" s="250"/>
      <c r="I13" s="250"/>
    </row>
    <row r="14" spans="1:9" ht="15" customHeight="1">
      <c r="A14" s="756" t="s">
        <v>41</v>
      </c>
      <c r="B14" s="759" t="s">
        <v>37</v>
      </c>
      <c r="C14" s="183" t="s">
        <v>25</v>
      </c>
      <c r="D14" s="552" t="str">
        <f>IF(E14='Parametre - Agendové IS'!H5,"OK","Chyba počtu podaní")</f>
        <v>OK</v>
      </c>
      <c r="E14" s="557">
        <f t="shared" si="0"/>
        <v>0</v>
      </c>
      <c r="F14" s="248"/>
      <c r="G14" s="248"/>
      <c r="H14" s="248"/>
      <c r="I14" s="248"/>
    </row>
    <row r="15" spans="1:9">
      <c r="A15" s="757"/>
      <c r="B15" s="760"/>
      <c r="C15" s="180" t="s">
        <v>26</v>
      </c>
      <c r="D15" s="553" t="str">
        <f>IF(E15='Parametre - Agendové IS'!H6,"OK","Chyba počtu podaní")</f>
        <v>OK</v>
      </c>
      <c r="E15" s="554">
        <f t="shared" si="0"/>
        <v>0</v>
      </c>
      <c r="F15" s="249"/>
      <c r="G15" s="249"/>
      <c r="H15" s="249"/>
      <c r="I15" s="249"/>
    </row>
    <row r="16" spans="1:9">
      <c r="A16" s="757"/>
      <c r="B16" s="760"/>
      <c r="C16" s="180" t="s">
        <v>27</v>
      </c>
      <c r="D16" s="553" t="str">
        <f>IF(E16='Parametre - Agendové IS'!H7,"OK","Chyba počtu podaní")</f>
        <v>OK</v>
      </c>
      <c r="E16" s="554">
        <f t="shared" si="0"/>
        <v>0</v>
      </c>
      <c r="F16" s="249"/>
      <c r="G16" s="249"/>
      <c r="H16" s="249"/>
      <c r="I16" s="249"/>
    </row>
    <row r="17" spans="1:9">
      <c r="A17" s="757"/>
      <c r="B17" s="760"/>
      <c r="C17" s="180" t="s">
        <v>28</v>
      </c>
      <c r="D17" s="553" t="str">
        <f>IF(E17='Parametre - Agendové IS'!H8,"OK","Chyba počtu podaní")</f>
        <v>OK</v>
      </c>
      <c r="E17" s="554">
        <f t="shared" si="0"/>
        <v>0</v>
      </c>
      <c r="F17" s="249"/>
      <c r="G17" s="249"/>
      <c r="H17" s="249"/>
      <c r="I17" s="249"/>
    </row>
    <row r="18" spans="1:9">
      <c r="A18" s="757"/>
      <c r="B18" s="760"/>
      <c r="C18" s="180" t="s">
        <v>29</v>
      </c>
      <c r="D18" s="553" t="str">
        <f>IF(E18='Parametre - Agendové IS'!H9,"OK","Chyba počtu podaní")</f>
        <v>OK</v>
      </c>
      <c r="E18" s="554">
        <f t="shared" si="0"/>
        <v>0</v>
      </c>
      <c r="F18" s="249"/>
      <c r="G18" s="249"/>
      <c r="H18" s="249"/>
      <c r="I18" s="249"/>
    </row>
    <row r="19" spans="1:9">
      <c r="A19" s="757"/>
      <c r="B19" s="760"/>
      <c r="C19" s="180" t="s">
        <v>30</v>
      </c>
      <c r="D19" s="553" t="str">
        <f>IF(E19='Parametre - Agendové IS'!H10,"OK","Chyba počtu podaní")</f>
        <v>OK</v>
      </c>
      <c r="E19" s="554">
        <f t="shared" si="0"/>
        <v>0</v>
      </c>
      <c r="F19" s="249"/>
      <c r="G19" s="249"/>
      <c r="H19" s="249"/>
      <c r="I19" s="249"/>
    </row>
    <row r="20" spans="1:9">
      <c r="A20" s="757"/>
      <c r="B20" s="760"/>
      <c r="C20" s="180" t="s">
        <v>31</v>
      </c>
      <c r="D20" s="553" t="str">
        <f>IF(E20='Parametre - Agendové IS'!H11,"OK","Chyba počtu podaní")</f>
        <v>OK</v>
      </c>
      <c r="E20" s="554">
        <f t="shared" si="0"/>
        <v>0</v>
      </c>
      <c r="F20" s="249"/>
      <c r="G20" s="249"/>
      <c r="H20" s="249"/>
      <c r="I20" s="249"/>
    </row>
    <row r="21" spans="1:9">
      <c r="A21" s="757"/>
      <c r="B21" s="760"/>
      <c r="C21" s="180" t="s">
        <v>32</v>
      </c>
      <c r="D21" s="553" t="str">
        <f>IF(E21='Parametre - Agendové IS'!H12,"OK","Chyba počtu podaní")</f>
        <v>OK</v>
      </c>
      <c r="E21" s="554">
        <f t="shared" si="0"/>
        <v>0</v>
      </c>
      <c r="F21" s="249"/>
      <c r="G21" s="249"/>
      <c r="H21" s="249"/>
      <c r="I21" s="249"/>
    </row>
    <row r="22" spans="1:9">
      <c r="A22" s="757"/>
      <c r="B22" s="760"/>
      <c r="C22" s="180" t="s">
        <v>33</v>
      </c>
      <c r="D22" s="553" t="str">
        <f>IF(E22='Parametre - Agendové IS'!H13,"OK","Chyba počtu podaní")</f>
        <v>OK</v>
      </c>
      <c r="E22" s="554">
        <f t="shared" si="0"/>
        <v>0</v>
      </c>
      <c r="F22" s="249"/>
      <c r="G22" s="249"/>
      <c r="H22" s="249"/>
      <c r="I22" s="249"/>
    </row>
    <row r="23" spans="1:9" ht="16" thickBot="1">
      <c r="A23" s="758"/>
      <c r="B23" s="761"/>
      <c r="C23" s="181" t="s">
        <v>34</v>
      </c>
      <c r="D23" s="553" t="str">
        <f>IF(E23='Parametre - Agendové IS'!H14,"OK","Chyba počtu podaní")</f>
        <v>OK</v>
      </c>
      <c r="E23" s="554">
        <f t="shared" si="0"/>
        <v>0</v>
      </c>
      <c r="F23" s="249"/>
      <c r="G23" s="249"/>
      <c r="H23" s="249"/>
      <c r="I23" s="249"/>
    </row>
    <row r="24" spans="1:9">
      <c r="A24" s="756" t="s">
        <v>39</v>
      </c>
      <c r="B24" s="759" t="s">
        <v>13</v>
      </c>
      <c r="C24" s="183" t="s">
        <v>25</v>
      </c>
      <c r="D24" s="552" t="str">
        <f>IF(E24='Parametre - Agendové IS'!H126,"OK","Chyba")</f>
        <v>OK</v>
      </c>
      <c r="E24" s="557">
        <f t="shared" si="0"/>
        <v>0</v>
      </c>
      <c r="F24" s="248"/>
      <c r="G24" s="248"/>
      <c r="H24" s="248"/>
      <c r="I24" s="248"/>
    </row>
    <row r="25" spans="1:9">
      <c r="A25" s="757"/>
      <c r="B25" s="760"/>
      <c r="C25" s="180" t="s">
        <v>26</v>
      </c>
      <c r="D25" s="553" t="str">
        <f>IF(E25='Parametre - Agendové IS'!H127,"OK","Chyba")</f>
        <v>OK</v>
      </c>
      <c r="E25" s="554">
        <f t="shared" si="0"/>
        <v>0</v>
      </c>
      <c r="F25" s="249"/>
      <c r="G25" s="249"/>
      <c r="H25" s="249"/>
      <c r="I25" s="249"/>
    </row>
    <row r="26" spans="1:9">
      <c r="A26" s="757"/>
      <c r="B26" s="760"/>
      <c r="C26" s="180" t="s">
        <v>27</v>
      </c>
      <c r="D26" s="553" t="str">
        <f>IF(E26='Parametre - Agendové IS'!H128,"OK","Chyba")</f>
        <v>Chyba</v>
      </c>
      <c r="E26" s="554">
        <f t="shared" si="0"/>
        <v>0</v>
      </c>
      <c r="F26" s="249"/>
      <c r="G26" s="249"/>
      <c r="H26" s="249"/>
      <c r="I26" s="249"/>
    </row>
    <row r="27" spans="1:9">
      <c r="A27" s="757"/>
      <c r="B27" s="760"/>
      <c r="C27" s="180" t="s">
        <v>28</v>
      </c>
      <c r="D27" s="553" t="str">
        <f>IF(E27='Parametre - Agendové IS'!H129,"OK","Chyba")</f>
        <v>Chyba</v>
      </c>
      <c r="E27" s="554">
        <f t="shared" si="0"/>
        <v>0</v>
      </c>
      <c r="F27" s="249"/>
      <c r="G27" s="249"/>
      <c r="H27" s="249"/>
      <c r="I27" s="249"/>
    </row>
    <row r="28" spans="1:9">
      <c r="A28" s="757"/>
      <c r="B28" s="760"/>
      <c r="C28" s="180" t="s">
        <v>29</v>
      </c>
      <c r="D28" s="553" t="str">
        <f>IF(E28='Parametre - Agendové IS'!H130,"OK","Chyba")</f>
        <v>Chyba</v>
      </c>
      <c r="E28" s="554">
        <f t="shared" si="0"/>
        <v>0</v>
      </c>
      <c r="F28" s="249"/>
      <c r="G28" s="249"/>
      <c r="H28" s="249"/>
      <c r="I28" s="249"/>
    </row>
    <row r="29" spans="1:9">
      <c r="A29" s="757"/>
      <c r="B29" s="760"/>
      <c r="C29" s="180" t="s">
        <v>30</v>
      </c>
      <c r="D29" s="553" t="str">
        <f>IF(E29='Parametre - Agendové IS'!H131,"OK","Chyba")</f>
        <v>Chyba</v>
      </c>
      <c r="E29" s="554">
        <f t="shared" si="0"/>
        <v>0</v>
      </c>
      <c r="F29" s="249"/>
      <c r="G29" s="249"/>
      <c r="H29" s="249"/>
      <c r="I29" s="249"/>
    </row>
    <row r="30" spans="1:9">
      <c r="A30" s="757"/>
      <c r="B30" s="760"/>
      <c r="C30" s="180" t="s">
        <v>31</v>
      </c>
      <c r="D30" s="553" t="str">
        <f>IF(E30='Parametre - Agendové IS'!H132,"OK","Chyba")</f>
        <v>Chyba</v>
      </c>
      <c r="E30" s="554">
        <f t="shared" si="0"/>
        <v>0</v>
      </c>
      <c r="F30" s="249"/>
      <c r="G30" s="249"/>
      <c r="H30" s="249"/>
      <c r="I30" s="249"/>
    </row>
    <row r="31" spans="1:9">
      <c r="A31" s="757"/>
      <c r="B31" s="760"/>
      <c r="C31" s="180" t="s">
        <v>32</v>
      </c>
      <c r="D31" s="553" t="str">
        <f>IF(E31='Parametre - Agendové IS'!H133,"OK","Chyba")</f>
        <v>Chyba</v>
      </c>
      <c r="E31" s="554">
        <f t="shared" si="0"/>
        <v>0</v>
      </c>
      <c r="F31" s="249"/>
      <c r="G31" s="249"/>
      <c r="H31" s="249"/>
      <c r="I31" s="249"/>
    </row>
    <row r="32" spans="1:9">
      <c r="A32" s="757"/>
      <c r="B32" s="760"/>
      <c r="C32" s="180" t="s">
        <v>33</v>
      </c>
      <c r="D32" s="553" t="str">
        <f>IF(E32='Parametre - Agendové IS'!H134,"OK","Chyba")</f>
        <v>Chyba</v>
      </c>
      <c r="E32" s="554">
        <f t="shared" si="0"/>
        <v>0</v>
      </c>
      <c r="F32" s="249"/>
      <c r="G32" s="249"/>
      <c r="H32" s="249"/>
      <c r="I32" s="249"/>
    </row>
    <row r="33" spans="1:9" ht="16" thickBot="1">
      <c r="A33" s="758"/>
      <c r="B33" s="761"/>
      <c r="C33" s="181" t="s">
        <v>34</v>
      </c>
      <c r="D33" s="553" t="str">
        <f>IF(E33='Parametre - Agendové IS'!H135,"OK","Chyba")</f>
        <v>Chyba</v>
      </c>
      <c r="E33" s="554">
        <f t="shared" si="0"/>
        <v>0</v>
      </c>
      <c r="F33" s="249"/>
      <c r="G33" s="249"/>
      <c r="H33" s="249"/>
      <c r="I33" s="249"/>
    </row>
    <row r="34" spans="1:9">
      <c r="A34" s="177"/>
      <c r="B34" s="178"/>
      <c r="E34" s="179"/>
    </row>
    <row r="35" spans="1:9">
      <c r="A35" s="177"/>
      <c r="B35" s="178"/>
      <c r="E35" s="179"/>
    </row>
    <row r="36" spans="1:9" ht="16" thickBot="1">
      <c r="A36" s="177"/>
      <c r="B36" s="178"/>
      <c r="E36" s="179"/>
    </row>
    <row r="37" spans="1:9">
      <c r="A37" s="762" t="e">
        <f>'Parametre - Agendové IS'!#REF!</f>
        <v>#REF!</v>
      </c>
      <c r="B37" s="763"/>
      <c r="C37" s="764"/>
      <c r="D37" s="768" t="s">
        <v>107</v>
      </c>
      <c r="E37" s="769"/>
      <c r="F37" s="360" t="s">
        <v>166</v>
      </c>
      <c r="G37" s="360" t="s">
        <v>167</v>
      </c>
      <c r="H37" s="360" t="s">
        <v>168</v>
      </c>
      <c r="I37" s="360" t="s">
        <v>170</v>
      </c>
    </row>
    <row r="38" spans="1:9" ht="16" thickBot="1">
      <c r="A38" s="765"/>
      <c r="B38" s="766"/>
      <c r="C38" s="767"/>
      <c r="D38" s="549" t="s">
        <v>356</v>
      </c>
      <c r="E38" s="550" t="s">
        <v>169</v>
      </c>
      <c r="F38" s="182" t="s">
        <v>169</v>
      </c>
      <c r="G38" s="182" t="s">
        <v>169</v>
      </c>
      <c r="H38" s="182" t="s">
        <v>169</v>
      </c>
      <c r="I38" s="182" t="s">
        <v>169</v>
      </c>
    </row>
    <row r="39" spans="1:9">
      <c r="A39" s="756" t="s">
        <v>43</v>
      </c>
      <c r="B39" s="759" t="s">
        <v>187</v>
      </c>
      <c r="C39" s="183" t="s">
        <v>25</v>
      </c>
      <c r="D39" s="551" t="e">
        <f>IF(E39='Parametre - Agendové IS'!#REF!,"OK","Chyba počtu FTE")</f>
        <v>#REF!</v>
      </c>
      <c r="E39" s="552">
        <f t="shared" ref="E39:E68" si="1">F39+G39+H39+I39</f>
        <v>0</v>
      </c>
      <c r="F39" s="248"/>
      <c r="G39" s="248"/>
      <c r="H39" s="248"/>
      <c r="I39" s="248"/>
    </row>
    <row r="40" spans="1:9">
      <c r="A40" s="757"/>
      <c r="B40" s="760"/>
      <c r="C40" s="180" t="s">
        <v>26</v>
      </c>
      <c r="D40" s="553" t="e">
        <f>IF(E40='Parametre - Agendové IS'!#REF!,"OK","Chyba počtu FTE")</f>
        <v>#REF!</v>
      </c>
      <c r="E40" s="554">
        <f t="shared" si="1"/>
        <v>0</v>
      </c>
      <c r="F40" s="249"/>
      <c r="G40" s="249"/>
      <c r="H40" s="249"/>
      <c r="I40" s="249"/>
    </row>
    <row r="41" spans="1:9">
      <c r="A41" s="757"/>
      <c r="B41" s="760"/>
      <c r="C41" s="180" t="s">
        <v>27</v>
      </c>
      <c r="D41" s="553" t="e">
        <f>IF(E41='Parametre - Agendové IS'!#REF!,"OK","Chyba počtu FTE")</f>
        <v>#REF!</v>
      </c>
      <c r="E41" s="554">
        <f t="shared" si="1"/>
        <v>0</v>
      </c>
      <c r="F41" s="249"/>
      <c r="G41" s="249"/>
      <c r="H41" s="249"/>
      <c r="I41" s="249"/>
    </row>
    <row r="42" spans="1:9">
      <c r="A42" s="757"/>
      <c r="B42" s="760"/>
      <c r="C42" s="180" t="s">
        <v>28</v>
      </c>
      <c r="D42" s="553" t="e">
        <f>IF(E42='Parametre - Agendové IS'!#REF!,"OK","Chyba počtu FTE")</f>
        <v>#REF!</v>
      </c>
      <c r="E42" s="554">
        <f t="shared" si="1"/>
        <v>0</v>
      </c>
      <c r="F42" s="249"/>
      <c r="G42" s="249"/>
      <c r="H42" s="249"/>
      <c r="I42" s="249"/>
    </row>
    <row r="43" spans="1:9">
      <c r="A43" s="757"/>
      <c r="B43" s="760"/>
      <c r="C43" s="180" t="s">
        <v>29</v>
      </c>
      <c r="D43" s="553" t="e">
        <f>IF(E43='Parametre - Agendové IS'!#REF!,"OK","Chyba počtu FTE")</f>
        <v>#REF!</v>
      </c>
      <c r="E43" s="554">
        <f t="shared" si="1"/>
        <v>0</v>
      </c>
      <c r="F43" s="249"/>
      <c r="G43" s="249"/>
      <c r="H43" s="249"/>
      <c r="I43" s="249"/>
    </row>
    <row r="44" spans="1:9" ht="15" customHeight="1">
      <c r="A44" s="757"/>
      <c r="B44" s="760"/>
      <c r="C44" s="180" t="s">
        <v>30</v>
      </c>
      <c r="D44" s="553" t="e">
        <f>IF(E44='Parametre - Agendové IS'!#REF!,"OK","Chyba počtu FTE")</f>
        <v>#REF!</v>
      </c>
      <c r="E44" s="554">
        <f t="shared" si="1"/>
        <v>0</v>
      </c>
      <c r="F44" s="249"/>
      <c r="G44" s="249"/>
      <c r="H44" s="249"/>
      <c r="I44" s="249"/>
    </row>
    <row r="45" spans="1:9">
      <c r="A45" s="757"/>
      <c r="B45" s="760"/>
      <c r="C45" s="180" t="s">
        <v>31</v>
      </c>
      <c r="D45" s="553" t="e">
        <f>IF(E45='Parametre - Agendové IS'!#REF!,"OK","Chyba počtu FTE")</f>
        <v>#REF!</v>
      </c>
      <c r="E45" s="554">
        <f t="shared" si="1"/>
        <v>0</v>
      </c>
      <c r="F45" s="249"/>
      <c r="G45" s="249"/>
      <c r="H45" s="249"/>
      <c r="I45" s="249"/>
    </row>
    <row r="46" spans="1:9">
      <c r="A46" s="757"/>
      <c r="B46" s="760"/>
      <c r="C46" s="180" t="s">
        <v>32</v>
      </c>
      <c r="D46" s="553" t="e">
        <f>IF(E46='Parametre - Agendové IS'!#REF!,"OK","Chyba počtu FTE")</f>
        <v>#REF!</v>
      </c>
      <c r="E46" s="554">
        <f t="shared" si="1"/>
        <v>0</v>
      </c>
      <c r="F46" s="249"/>
      <c r="G46" s="249"/>
      <c r="H46" s="249"/>
      <c r="I46" s="249"/>
    </row>
    <row r="47" spans="1:9">
      <c r="A47" s="757"/>
      <c r="B47" s="760"/>
      <c r="C47" s="180" t="s">
        <v>33</v>
      </c>
      <c r="D47" s="553" t="e">
        <f>IF(E47='Parametre - Agendové IS'!#REF!,"OK","Chyba počtu FTE")</f>
        <v>#REF!</v>
      </c>
      <c r="E47" s="554">
        <f t="shared" si="1"/>
        <v>0</v>
      </c>
      <c r="F47" s="249"/>
      <c r="G47" s="249"/>
      <c r="H47" s="249"/>
      <c r="I47" s="249"/>
    </row>
    <row r="48" spans="1:9" ht="16" thickBot="1">
      <c r="A48" s="757"/>
      <c r="B48" s="760"/>
      <c r="C48" s="180" t="s">
        <v>34</v>
      </c>
      <c r="D48" s="555" t="e">
        <f>IF(E48='Parametre - Agendové IS'!#REF!,"OK","Chyba počtu FTE")</f>
        <v>#REF!</v>
      </c>
      <c r="E48" s="556">
        <f t="shared" si="1"/>
        <v>0</v>
      </c>
      <c r="F48" s="250"/>
      <c r="G48" s="250"/>
      <c r="H48" s="250"/>
      <c r="I48" s="250"/>
    </row>
    <row r="49" spans="1:9">
      <c r="A49" s="756" t="s">
        <v>41</v>
      </c>
      <c r="B49" s="759" t="s">
        <v>37</v>
      </c>
      <c r="C49" s="183" t="s">
        <v>25</v>
      </c>
      <c r="D49" s="552" t="e">
        <f>IF(E49='Parametre - Agendové IS'!#REF!,"OK","Chyba počtu podaní")</f>
        <v>#REF!</v>
      </c>
      <c r="E49" s="557">
        <f t="shared" si="1"/>
        <v>0</v>
      </c>
      <c r="F49" s="248"/>
      <c r="G49" s="248"/>
      <c r="H49" s="248"/>
      <c r="I49" s="248"/>
    </row>
    <row r="50" spans="1:9">
      <c r="A50" s="757"/>
      <c r="B50" s="760"/>
      <c r="C50" s="180" t="s">
        <v>26</v>
      </c>
      <c r="D50" s="553" t="e">
        <f>IF(E50='Parametre - Agendové IS'!#REF!,"OK","Chyba počtu podaní")</f>
        <v>#REF!</v>
      </c>
      <c r="E50" s="554">
        <f t="shared" si="1"/>
        <v>0</v>
      </c>
      <c r="F50" s="249"/>
      <c r="G50" s="249"/>
      <c r="H50" s="249"/>
      <c r="I50" s="249"/>
    </row>
    <row r="51" spans="1:9">
      <c r="A51" s="757"/>
      <c r="B51" s="760"/>
      <c r="C51" s="180" t="s">
        <v>27</v>
      </c>
      <c r="D51" s="553" t="e">
        <f>IF(E51='Parametre - Agendové IS'!#REF!,"OK","Chyba počtu podaní")</f>
        <v>#REF!</v>
      </c>
      <c r="E51" s="554">
        <f t="shared" si="1"/>
        <v>0</v>
      </c>
      <c r="F51" s="249"/>
      <c r="G51" s="249"/>
      <c r="H51" s="249"/>
      <c r="I51" s="249"/>
    </row>
    <row r="52" spans="1:9">
      <c r="A52" s="757"/>
      <c r="B52" s="760"/>
      <c r="C52" s="180" t="s">
        <v>28</v>
      </c>
      <c r="D52" s="553" t="e">
        <f>IF(E52='Parametre - Agendové IS'!#REF!,"OK","Chyba počtu podaní")</f>
        <v>#REF!</v>
      </c>
      <c r="E52" s="554">
        <f t="shared" si="1"/>
        <v>0</v>
      </c>
      <c r="F52" s="249"/>
      <c r="G52" s="249"/>
      <c r="H52" s="249"/>
      <c r="I52" s="249"/>
    </row>
    <row r="53" spans="1:9">
      <c r="A53" s="757"/>
      <c r="B53" s="760"/>
      <c r="C53" s="180" t="s">
        <v>29</v>
      </c>
      <c r="D53" s="553" t="e">
        <f>IF(E53='Parametre - Agendové IS'!#REF!,"OK","Chyba počtu podaní")</f>
        <v>#REF!</v>
      </c>
      <c r="E53" s="554">
        <f t="shared" si="1"/>
        <v>0</v>
      </c>
      <c r="F53" s="249"/>
      <c r="G53" s="249"/>
      <c r="H53" s="249"/>
      <c r="I53" s="249"/>
    </row>
    <row r="54" spans="1:9">
      <c r="A54" s="757"/>
      <c r="B54" s="760"/>
      <c r="C54" s="180" t="s">
        <v>30</v>
      </c>
      <c r="D54" s="553" t="e">
        <f>IF(E54='Parametre - Agendové IS'!#REF!,"OK","Chyba počtu podaní")</f>
        <v>#REF!</v>
      </c>
      <c r="E54" s="554">
        <f t="shared" si="1"/>
        <v>0</v>
      </c>
      <c r="F54" s="249"/>
      <c r="G54" s="249"/>
      <c r="H54" s="249"/>
      <c r="I54" s="249"/>
    </row>
    <row r="55" spans="1:9">
      <c r="A55" s="757"/>
      <c r="B55" s="760"/>
      <c r="C55" s="180" t="s">
        <v>31</v>
      </c>
      <c r="D55" s="553" t="e">
        <f>IF(E55='Parametre - Agendové IS'!#REF!,"OK","Chyba počtu podaní")</f>
        <v>#REF!</v>
      </c>
      <c r="E55" s="554">
        <f t="shared" si="1"/>
        <v>0</v>
      </c>
      <c r="F55" s="249"/>
      <c r="G55" s="249"/>
      <c r="H55" s="249"/>
      <c r="I55" s="249"/>
    </row>
    <row r="56" spans="1:9">
      <c r="A56" s="757"/>
      <c r="B56" s="760"/>
      <c r="C56" s="180" t="s">
        <v>32</v>
      </c>
      <c r="D56" s="553" t="e">
        <f>IF(E56='Parametre - Agendové IS'!#REF!,"OK","Chyba počtu podaní")</f>
        <v>#REF!</v>
      </c>
      <c r="E56" s="554">
        <f t="shared" si="1"/>
        <v>0</v>
      </c>
      <c r="F56" s="249"/>
      <c r="G56" s="249"/>
      <c r="H56" s="249"/>
      <c r="I56" s="249"/>
    </row>
    <row r="57" spans="1:9">
      <c r="A57" s="757"/>
      <c r="B57" s="760"/>
      <c r="C57" s="180" t="s">
        <v>33</v>
      </c>
      <c r="D57" s="553" t="e">
        <f>IF(E57='Parametre - Agendové IS'!#REF!,"OK","Chyba počtu podaní")</f>
        <v>#REF!</v>
      </c>
      <c r="E57" s="554">
        <f t="shared" si="1"/>
        <v>0</v>
      </c>
      <c r="F57" s="249"/>
      <c r="G57" s="249"/>
      <c r="H57" s="249"/>
      <c r="I57" s="249"/>
    </row>
    <row r="58" spans="1:9" ht="16" thickBot="1">
      <c r="A58" s="758"/>
      <c r="B58" s="761"/>
      <c r="C58" s="181" t="s">
        <v>34</v>
      </c>
      <c r="D58" s="553" t="e">
        <f>IF(E58='Parametre - Agendové IS'!#REF!,"OK","Chyba počtu podaní")</f>
        <v>#REF!</v>
      </c>
      <c r="E58" s="554">
        <f t="shared" si="1"/>
        <v>0</v>
      </c>
      <c r="F58" s="249"/>
      <c r="G58" s="249"/>
      <c r="H58" s="249"/>
      <c r="I58" s="249"/>
    </row>
    <row r="59" spans="1:9">
      <c r="A59" s="756" t="s">
        <v>39</v>
      </c>
      <c r="B59" s="759" t="s">
        <v>13</v>
      </c>
      <c r="C59" s="183" t="s">
        <v>25</v>
      </c>
      <c r="D59" s="552" t="e">
        <f>IF(E59='Parametre - Agendové IS'!#REF!,"OK","Chyba")</f>
        <v>#REF!</v>
      </c>
      <c r="E59" s="557">
        <f t="shared" si="1"/>
        <v>0</v>
      </c>
      <c r="F59" s="248"/>
      <c r="G59" s="248"/>
      <c r="H59" s="248"/>
      <c r="I59" s="248"/>
    </row>
    <row r="60" spans="1:9">
      <c r="A60" s="757"/>
      <c r="B60" s="760"/>
      <c r="C60" s="180" t="s">
        <v>26</v>
      </c>
      <c r="D60" s="553" t="e">
        <f>IF(E60='Parametre - Agendové IS'!#REF!,"OK","Chyba")</f>
        <v>#REF!</v>
      </c>
      <c r="E60" s="554">
        <f t="shared" si="1"/>
        <v>0</v>
      </c>
      <c r="F60" s="249"/>
      <c r="G60" s="249"/>
      <c r="H60" s="249"/>
      <c r="I60" s="249"/>
    </row>
    <row r="61" spans="1:9">
      <c r="A61" s="757"/>
      <c r="B61" s="760"/>
      <c r="C61" s="180" t="s">
        <v>27</v>
      </c>
      <c r="D61" s="553" t="e">
        <f>IF(E61='Parametre - Agendové IS'!#REF!,"OK","Chyba")</f>
        <v>#REF!</v>
      </c>
      <c r="E61" s="554">
        <f t="shared" si="1"/>
        <v>0</v>
      </c>
      <c r="F61" s="249"/>
      <c r="G61" s="249"/>
      <c r="H61" s="249"/>
      <c r="I61" s="249"/>
    </row>
    <row r="62" spans="1:9">
      <c r="A62" s="757"/>
      <c r="B62" s="760"/>
      <c r="C62" s="180" t="s">
        <v>28</v>
      </c>
      <c r="D62" s="553" t="e">
        <f>IF(E62='Parametre - Agendové IS'!#REF!,"OK","Chyba")</f>
        <v>#REF!</v>
      </c>
      <c r="E62" s="554">
        <f t="shared" si="1"/>
        <v>0</v>
      </c>
      <c r="F62" s="249"/>
      <c r="G62" s="249"/>
      <c r="H62" s="249"/>
      <c r="I62" s="249"/>
    </row>
    <row r="63" spans="1:9">
      <c r="A63" s="757"/>
      <c r="B63" s="760"/>
      <c r="C63" s="180" t="s">
        <v>29</v>
      </c>
      <c r="D63" s="553" t="e">
        <f>IF(E63='Parametre - Agendové IS'!#REF!,"OK","Chyba")</f>
        <v>#REF!</v>
      </c>
      <c r="E63" s="554">
        <f t="shared" si="1"/>
        <v>0</v>
      </c>
      <c r="F63" s="249"/>
      <c r="G63" s="249"/>
      <c r="H63" s="249"/>
      <c r="I63" s="249"/>
    </row>
    <row r="64" spans="1:9">
      <c r="A64" s="757"/>
      <c r="B64" s="760"/>
      <c r="C64" s="180" t="s">
        <v>30</v>
      </c>
      <c r="D64" s="553" t="e">
        <f>IF(E64='Parametre - Agendové IS'!#REF!,"OK","Chyba")</f>
        <v>#REF!</v>
      </c>
      <c r="E64" s="554">
        <f t="shared" si="1"/>
        <v>0</v>
      </c>
      <c r="F64" s="249"/>
      <c r="G64" s="249"/>
      <c r="H64" s="249"/>
      <c r="I64" s="249"/>
    </row>
    <row r="65" spans="1:9">
      <c r="A65" s="757"/>
      <c r="B65" s="760"/>
      <c r="C65" s="180" t="s">
        <v>31</v>
      </c>
      <c r="D65" s="553" t="e">
        <f>IF(E65='Parametre - Agendové IS'!#REF!,"OK","Chyba")</f>
        <v>#REF!</v>
      </c>
      <c r="E65" s="554">
        <f t="shared" si="1"/>
        <v>0</v>
      </c>
      <c r="F65" s="249"/>
      <c r="G65" s="249"/>
      <c r="H65" s="249"/>
      <c r="I65" s="249"/>
    </row>
    <row r="66" spans="1:9">
      <c r="A66" s="757"/>
      <c r="B66" s="760"/>
      <c r="C66" s="180" t="s">
        <v>32</v>
      </c>
      <c r="D66" s="553" t="e">
        <f>IF(E66='Parametre - Agendové IS'!#REF!,"OK","Chyba")</f>
        <v>#REF!</v>
      </c>
      <c r="E66" s="554">
        <f t="shared" si="1"/>
        <v>0</v>
      </c>
      <c r="F66" s="249"/>
      <c r="G66" s="249"/>
      <c r="H66" s="249"/>
      <c r="I66" s="249"/>
    </row>
    <row r="67" spans="1:9">
      <c r="A67" s="757"/>
      <c r="B67" s="760"/>
      <c r="C67" s="180" t="s">
        <v>33</v>
      </c>
      <c r="D67" s="553" t="e">
        <f>IF(E67='Parametre - Agendové IS'!#REF!,"OK","Chyba")</f>
        <v>#REF!</v>
      </c>
      <c r="E67" s="554">
        <f t="shared" si="1"/>
        <v>0</v>
      </c>
      <c r="F67" s="249"/>
      <c r="G67" s="249"/>
      <c r="H67" s="249"/>
      <c r="I67" s="249"/>
    </row>
    <row r="68" spans="1:9" ht="16" thickBot="1">
      <c r="A68" s="758"/>
      <c r="B68" s="761"/>
      <c r="C68" s="181" t="s">
        <v>34</v>
      </c>
      <c r="D68" s="553" t="e">
        <f>IF(E68='Parametre - Agendové IS'!#REF!,"OK","Chyba")</f>
        <v>#REF!</v>
      </c>
      <c r="E68" s="554">
        <f t="shared" si="1"/>
        <v>0</v>
      </c>
      <c r="F68" s="249"/>
      <c r="G68" s="249"/>
      <c r="H68" s="249"/>
      <c r="I68" s="249"/>
    </row>
    <row r="71" spans="1:9" ht="16" thickBot="1"/>
    <row r="72" spans="1:9">
      <c r="A72" s="762" t="e">
        <f>'Parametre - Agendové IS'!#REF!</f>
        <v>#REF!</v>
      </c>
      <c r="B72" s="763"/>
      <c r="C72" s="764"/>
      <c r="D72" s="768" t="s">
        <v>107</v>
      </c>
      <c r="E72" s="769"/>
      <c r="F72" s="360" t="s">
        <v>166</v>
      </c>
      <c r="G72" s="360" t="s">
        <v>167</v>
      </c>
      <c r="H72" s="360" t="s">
        <v>168</v>
      </c>
      <c r="I72" s="360" t="s">
        <v>170</v>
      </c>
    </row>
    <row r="73" spans="1:9" ht="16" thickBot="1">
      <c r="A73" s="765"/>
      <c r="B73" s="766"/>
      <c r="C73" s="767"/>
      <c r="D73" s="549" t="s">
        <v>356</v>
      </c>
      <c r="E73" s="550" t="s">
        <v>169</v>
      </c>
      <c r="F73" s="182" t="s">
        <v>169</v>
      </c>
      <c r="G73" s="182" t="s">
        <v>169</v>
      </c>
      <c r="H73" s="182" t="s">
        <v>169</v>
      </c>
      <c r="I73" s="182" t="s">
        <v>169</v>
      </c>
    </row>
    <row r="74" spans="1:9">
      <c r="A74" s="756" t="s">
        <v>43</v>
      </c>
      <c r="B74" s="759" t="s">
        <v>187</v>
      </c>
      <c r="C74" s="183" t="s">
        <v>25</v>
      </c>
      <c r="D74" s="551" t="e">
        <f>IF(E74='Parametre - Agendové IS'!#REF!,"OK","Chyba počtu FTE")</f>
        <v>#REF!</v>
      </c>
      <c r="E74" s="552">
        <f t="shared" ref="E74:E103" si="2">F74+G74+H74+I74</f>
        <v>0</v>
      </c>
      <c r="F74" s="248"/>
      <c r="G74" s="248"/>
      <c r="H74" s="248"/>
      <c r="I74" s="248"/>
    </row>
    <row r="75" spans="1:9">
      <c r="A75" s="757"/>
      <c r="B75" s="760"/>
      <c r="C75" s="180" t="s">
        <v>26</v>
      </c>
      <c r="D75" s="553" t="e">
        <f>IF(E75='Parametre - Agendové IS'!#REF!,"OK","Chyba počtu FTE")</f>
        <v>#REF!</v>
      </c>
      <c r="E75" s="554">
        <f t="shared" si="2"/>
        <v>0</v>
      </c>
      <c r="F75" s="249"/>
      <c r="G75" s="249"/>
      <c r="H75" s="249"/>
      <c r="I75" s="249"/>
    </row>
    <row r="76" spans="1:9">
      <c r="A76" s="757"/>
      <c r="B76" s="760"/>
      <c r="C76" s="180" t="s">
        <v>27</v>
      </c>
      <c r="D76" s="553" t="e">
        <f>IF(E76='Parametre - Agendové IS'!#REF!,"OK","Chyba počtu FTE")</f>
        <v>#REF!</v>
      </c>
      <c r="E76" s="554">
        <f t="shared" si="2"/>
        <v>0</v>
      </c>
      <c r="F76" s="249"/>
      <c r="G76" s="249"/>
      <c r="H76" s="249"/>
      <c r="I76" s="249"/>
    </row>
    <row r="77" spans="1:9">
      <c r="A77" s="757"/>
      <c r="B77" s="760"/>
      <c r="C77" s="180" t="s">
        <v>28</v>
      </c>
      <c r="D77" s="553" t="e">
        <f>IF(E77='Parametre - Agendové IS'!#REF!,"OK","Chyba počtu FTE")</f>
        <v>#REF!</v>
      </c>
      <c r="E77" s="554">
        <f t="shared" si="2"/>
        <v>0</v>
      </c>
      <c r="F77" s="249"/>
      <c r="G77" s="249"/>
      <c r="H77" s="249"/>
      <c r="I77" s="249"/>
    </row>
    <row r="78" spans="1:9">
      <c r="A78" s="757"/>
      <c r="B78" s="760"/>
      <c r="C78" s="180" t="s">
        <v>29</v>
      </c>
      <c r="D78" s="553" t="e">
        <f>IF(E78='Parametre - Agendové IS'!#REF!,"OK","Chyba počtu FTE")</f>
        <v>#REF!</v>
      </c>
      <c r="E78" s="554">
        <f t="shared" si="2"/>
        <v>0</v>
      </c>
      <c r="F78" s="249"/>
      <c r="G78" s="249"/>
      <c r="H78" s="249"/>
      <c r="I78" s="249"/>
    </row>
    <row r="79" spans="1:9">
      <c r="A79" s="757"/>
      <c r="B79" s="760"/>
      <c r="C79" s="180" t="s">
        <v>30</v>
      </c>
      <c r="D79" s="553" t="e">
        <f>IF(E79='Parametre - Agendové IS'!#REF!,"OK","Chyba počtu FTE")</f>
        <v>#REF!</v>
      </c>
      <c r="E79" s="554">
        <f t="shared" si="2"/>
        <v>0</v>
      </c>
      <c r="F79" s="249"/>
      <c r="G79" s="249"/>
      <c r="H79" s="249"/>
      <c r="I79" s="249"/>
    </row>
    <row r="80" spans="1:9">
      <c r="A80" s="757"/>
      <c r="B80" s="760"/>
      <c r="C80" s="180" t="s">
        <v>31</v>
      </c>
      <c r="D80" s="553" t="e">
        <f>IF(E80='Parametre - Agendové IS'!#REF!,"OK","Chyba počtu FTE")</f>
        <v>#REF!</v>
      </c>
      <c r="E80" s="554">
        <f t="shared" si="2"/>
        <v>0</v>
      </c>
      <c r="F80" s="249"/>
      <c r="G80" s="249"/>
      <c r="H80" s="249"/>
      <c r="I80" s="249"/>
    </row>
    <row r="81" spans="1:9">
      <c r="A81" s="757"/>
      <c r="B81" s="760"/>
      <c r="C81" s="180" t="s">
        <v>32</v>
      </c>
      <c r="D81" s="553" t="e">
        <f>IF(E81='Parametre - Agendové IS'!#REF!,"OK","Chyba počtu FTE")</f>
        <v>#REF!</v>
      </c>
      <c r="E81" s="554">
        <f t="shared" si="2"/>
        <v>0</v>
      </c>
      <c r="F81" s="249"/>
      <c r="G81" s="249"/>
      <c r="H81" s="249"/>
      <c r="I81" s="249"/>
    </row>
    <row r="82" spans="1:9">
      <c r="A82" s="757"/>
      <c r="B82" s="760"/>
      <c r="C82" s="180" t="s">
        <v>33</v>
      </c>
      <c r="D82" s="553" t="e">
        <f>IF(E82='Parametre - Agendové IS'!#REF!,"OK","Chyba počtu FTE")</f>
        <v>#REF!</v>
      </c>
      <c r="E82" s="554">
        <f t="shared" si="2"/>
        <v>0</v>
      </c>
      <c r="F82" s="249"/>
      <c r="G82" s="249"/>
      <c r="H82" s="249"/>
      <c r="I82" s="249"/>
    </row>
    <row r="83" spans="1:9" ht="16" thickBot="1">
      <c r="A83" s="757"/>
      <c r="B83" s="760"/>
      <c r="C83" s="180" t="s">
        <v>34</v>
      </c>
      <c r="D83" s="555" t="e">
        <f>IF(E83='Parametre - Agendové IS'!#REF!,"OK","Chyba počtu FTE")</f>
        <v>#REF!</v>
      </c>
      <c r="E83" s="556">
        <f t="shared" si="2"/>
        <v>0</v>
      </c>
      <c r="F83" s="250"/>
      <c r="G83" s="250"/>
      <c r="H83" s="250"/>
      <c r="I83" s="250"/>
    </row>
    <row r="84" spans="1:9">
      <c r="A84" s="756" t="s">
        <v>41</v>
      </c>
      <c r="B84" s="759" t="s">
        <v>37</v>
      </c>
      <c r="C84" s="183" t="s">
        <v>25</v>
      </c>
      <c r="D84" s="552" t="e">
        <f>IF(E84='Parametre - Agendové IS'!#REF!,"OK","Chyba počtu podaní")</f>
        <v>#REF!</v>
      </c>
      <c r="E84" s="557">
        <f t="shared" si="2"/>
        <v>0</v>
      </c>
      <c r="F84" s="248"/>
      <c r="G84" s="248"/>
      <c r="H84" s="248"/>
      <c r="I84" s="248"/>
    </row>
    <row r="85" spans="1:9">
      <c r="A85" s="757"/>
      <c r="B85" s="760"/>
      <c r="C85" s="180" t="s">
        <v>26</v>
      </c>
      <c r="D85" s="553" t="e">
        <f>IF(E85='Parametre - Agendové IS'!#REF!,"OK","Chyba počtu podaní")</f>
        <v>#REF!</v>
      </c>
      <c r="E85" s="554">
        <f t="shared" si="2"/>
        <v>0</v>
      </c>
      <c r="F85" s="249"/>
      <c r="G85" s="249"/>
      <c r="H85" s="249"/>
      <c r="I85" s="249"/>
    </row>
    <row r="86" spans="1:9">
      <c r="A86" s="757"/>
      <c r="B86" s="760"/>
      <c r="C86" s="180" t="s">
        <v>27</v>
      </c>
      <c r="D86" s="553" t="e">
        <f>IF(E86='Parametre - Agendové IS'!#REF!,"OK","Chyba počtu podaní")</f>
        <v>#REF!</v>
      </c>
      <c r="E86" s="554">
        <f t="shared" si="2"/>
        <v>0</v>
      </c>
      <c r="F86" s="249"/>
      <c r="G86" s="249"/>
      <c r="H86" s="249"/>
      <c r="I86" s="249"/>
    </row>
    <row r="87" spans="1:9">
      <c r="A87" s="757"/>
      <c r="B87" s="760"/>
      <c r="C87" s="180" t="s">
        <v>28</v>
      </c>
      <c r="D87" s="553" t="e">
        <f>IF(E87='Parametre - Agendové IS'!#REF!,"OK","Chyba počtu podaní")</f>
        <v>#REF!</v>
      </c>
      <c r="E87" s="554">
        <f t="shared" si="2"/>
        <v>0</v>
      </c>
      <c r="F87" s="249"/>
      <c r="G87" s="249"/>
      <c r="H87" s="249"/>
      <c r="I87" s="249"/>
    </row>
    <row r="88" spans="1:9">
      <c r="A88" s="757"/>
      <c r="B88" s="760"/>
      <c r="C88" s="180" t="s">
        <v>29</v>
      </c>
      <c r="D88" s="553" t="e">
        <f>IF(E88='Parametre - Agendové IS'!#REF!,"OK","Chyba počtu podaní")</f>
        <v>#REF!</v>
      </c>
      <c r="E88" s="554">
        <f t="shared" si="2"/>
        <v>0</v>
      </c>
      <c r="F88" s="249"/>
      <c r="G88" s="249"/>
      <c r="H88" s="249"/>
      <c r="I88" s="249"/>
    </row>
    <row r="89" spans="1:9">
      <c r="A89" s="757"/>
      <c r="B89" s="760"/>
      <c r="C89" s="180" t="s">
        <v>30</v>
      </c>
      <c r="D89" s="553" t="e">
        <f>IF(E89='Parametre - Agendové IS'!#REF!,"OK","Chyba počtu podaní")</f>
        <v>#REF!</v>
      </c>
      <c r="E89" s="554">
        <f t="shared" si="2"/>
        <v>0</v>
      </c>
      <c r="F89" s="249"/>
      <c r="G89" s="249"/>
      <c r="H89" s="249"/>
      <c r="I89" s="249"/>
    </row>
    <row r="90" spans="1:9">
      <c r="A90" s="757"/>
      <c r="B90" s="760"/>
      <c r="C90" s="180" t="s">
        <v>31</v>
      </c>
      <c r="D90" s="553" t="e">
        <f>IF(E90='Parametre - Agendové IS'!#REF!,"OK","Chyba počtu podaní")</f>
        <v>#REF!</v>
      </c>
      <c r="E90" s="554">
        <f t="shared" si="2"/>
        <v>0</v>
      </c>
      <c r="F90" s="249"/>
      <c r="G90" s="249"/>
      <c r="H90" s="249"/>
      <c r="I90" s="249"/>
    </row>
    <row r="91" spans="1:9">
      <c r="A91" s="757"/>
      <c r="B91" s="760"/>
      <c r="C91" s="180" t="s">
        <v>32</v>
      </c>
      <c r="D91" s="553" t="e">
        <f>IF(E91='Parametre - Agendové IS'!#REF!,"OK","Chyba počtu podaní")</f>
        <v>#REF!</v>
      </c>
      <c r="E91" s="554">
        <f t="shared" si="2"/>
        <v>0</v>
      </c>
      <c r="F91" s="249"/>
      <c r="G91" s="249"/>
      <c r="H91" s="249"/>
      <c r="I91" s="249"/>
    </row>
    <row r="92" spans="1:9">
      <c r="A92" s="757"/>
      <c r="B92" s="760"/>
      <c r="C92" s="180" t="s">
        <v>33</v>
      </c>
      <c r="D92" s="553" t="e">
        <f>IF(E92='Parametre - Agendové IS'!#REF!,"OK","Chyba počtu podaní")</f>
        <v>#REF!</v>
      </c>
      <c r="E92" s="554">
        <f t="shared" si="2"/>
        <v>0</v>
      </c>
      <c r="F92" s="249"/>
      <c r="G92" s="249"/>
      <c r="H92" s="249"/>
      <c r="I92" s="249"/>
    </row>
    <row r="93" spans="1:9" ht="16" thickBot="1">
      <c r="A93" s="758"/>
      <c r="B93" s="761"/>
      <c r="C93" s="181" t="s">
        <v>34</v>
      </c>
      <c r="D93" s="553" t="e">
        <f>IF(E93='Parametre - Agendové IS'!#REF!,"OK","Chyba počtu podaní")</f>
        <v>#REF!</v>
      </c>
      <c r="E93" s="554">
        <f t="shared" si="2"/>
        <v>0</v>
      </c>
      <c r="F93" s="249"/>
      <c r="G93" s="249"/>
      <c r="H93" s="249"/>
      <c r="I93" s="249"/>
    </row>
    <row r="94" spans="1:9">
      <c r="A94" s="756" t="s">
        <v>39</v>
      </c>
      <c r="B94" s="759" t="s">
        <v>13</v>
      </c>
      <c r="C94" s="183" t="s">
        <v>25</v>
      </c>
      <c r="D94" s="552" t="e">
        <f>IF(E94='Parametre - Agendové IS'!#REF!,"OK","Chyba")</f>
        <v>#REF!</v>
      </c>
      <c r="E94" s="557">
        <f t="shared" si="2"/>
        <v>0</v>
      </c>
      <c r="F94" s="248"/>
      <c r="G94" s="248"/>
      <c r="H94" s="248"/>
      <c r="I94" s="248"/>
    </row>
    <row r="95" spans="1:9">
      <c r="A95" s="757"/>
      <c r="B95" s="760"/>
      <c r="C95" s="180" t="s">
        <v>26</v>
      </c>
      <c r="D95" s="553" t="e">
        <f>IF(E95='Parametre - Agendové IS'!#REF!,"OK","Chyba")</f>
        <v>#REF!</v>
      </c>
      <c r="E95" s="554">
        <f t="shared" si="2"/>
        <v>0</v>
      </c>
      <c r="F95" s="249"/>
      <c r="G95" s="249"/>
      <c r="H95" s="249"/>
      <c r="I95" s="249"/>
    </row>
    <row r="96" spans="1:9">
      <c r="A96" s="757"/>
      <c r="B96" s="760"/>
      <c r="C96" s="180" t="s">
        <v>27</v>
      </c>
      <c r="D96" s="553" t="e">
        <f>IF(E96='Parametre - Agendové IS'!#REF!,"OK","Chyba")</f>
        <v>#REF!</v>
      </c>
      <c r="E96" s="554">
        <f t="shared" si="2"/>
        <v>0</v>
      </c>
      <c r="F96" s="249"/>
      <c r="G96" s="249"/>
      <c r="H96" s="249"/>
      <c r="I96" s="249"/>
    </row>
    <row r="97" spans="1:9">
      <c r="A97" s="757"/>
      <c r="B97" s="760"/>
      <c r="C97" s="180" t="s">
        <v>28</v>
      </c>
      <c r="D97" s="553" t="e">
        <f>IF(E97='Parametre - Agendové IS'!#REF!,"OK","Chyba")</f>
        <v>#REF!</v>
      </c>
      <c r="E97" s="554">
        <f t="shared" si="2"/>
        <v>0</v>
      </c>
      <c r="F97" s="249"/>
      <c r="G97" s="249"/>
      <c r="H97" s="249"/>
      <c r="I97" s="249"/>
    </row>
    <row r="98" spans="1:9">
      <c r="A98" s="757"/>
      <c r="B98" s="760"/>
      <c r="C98" s="180" t="s">
        <v>29</v>
      </c>
      <c r="D98" s="553" t="e">
        <f>IF(E98='Parametre - Agendové IS'!#REF!,"OK","Chyba")</f>
        <v>#REF!</v>
      </c>
      <c r="E98" s="554">
        <f t="shared" si="2"/>
        <v>0</v>
      </c>
      <c r="F98" s="249"/>
      <c r="G98" s="249"/>
      <c r="H98" s="249"/>
      <c r="I98" s="249"/>
    </row>
    <row r="99" spans="1:9">
      <c r="A99" s="757"/>
      <c r="B99" s="760"/>
      <c r="C99" s="180" t="s">
        <v>30</v>
      </c>
      <c r="D99" s="553" t="e">
        <f>IF(E99='Parametre - Agendové IS'!#REF!,"OK","Chyba")</f>
        <v>#REF!</v>
      </c>
      <c r="E99" s="554">
        <f t="shared" si="2"/>
        <v>0</v>
      </c>
      <c r="F99" s="249"/>
      <c r="G99" s="249"/>
      <c r="H99" s="249"/>
      <c r="I99" s="249"/>
    </row>
    <row r="100" spans="1:9">
      <c r="A100" s="757"/>
      <c r="B100" s="760"/>
      <c r="C100" s="180" t="s">
        <v>31</v>
      </c>
      <c r="D100" s="553" t="e">
        <f>IF(E100='Parametre - Agendové IS'!#REF!,"OK","Chyba")</f>
        <v>#REF!</v>
      </c>
      <c r="E100" s="554">
        <f t="shared" si="2"/>
        <v>0</v>
      </c>
      <c r="F100" s="249"/>
      <c r="G100" s="249"/>
      <c r="H100" s="249"/>
      <c r="I100" s="249"/>
    </row>
    <row r="101" spans="1:9">
      <c r="A101" s="757"/>
      <c r="B101" s="760"/>
      <c r="C101" s="180" t="s">
        <v>32</v>
      </c>
      <c r="D101" s="553" t="e">
        <f>IF(E101='Parametre - Agendové IS'!#REF!,"OK","Chyba")</f>
        <v>#REF!</v>
      </c>
      <c r="E101" s="554">
        <f t="shared" si="2"/>
        <v>0</v>
      </c>
      <c r="F101" s="249"/>
      <c r="G101" s="249"/>
      <c r="H101" s="249"/>
      <c r="I101" s="249"/>
    </row>
    <row r="102" spans="1:9">
      <c r="A102" s="757"/>
      <c r="B102" s="760"/>
      <c r="C102" s="180" t="s">
        <v>33</v>
      </c>
      <c r="D102" s="553" t="e">
        <f>IF(E102='Parametre - Agendové IS'!#REF!,"OK","Chyba")</f>
        <v>#REF!</v>
      </c>
      <c r="E102" s="554">
        <f t="shared" si="2"/>
        <v>0</v>
      </c>
      <c r="F102" s="249"/>
      <c r="G102" s="249"/>
      <c r="H102" s="249"/>
      <c r="I102" s="249"/>
    </row>
    <row r="103" spans="1:9" ht="16" thickBot="1">
      <c r="A103" s="758"/>
      <c r="B103" s="761"/>
      <c r="C103" s="181" t="s">
        <v>34</v>
      </c>
      <c r="D103" s="553" t="e">
        <f>IF(E103='Parametre - Agendové IS'!#REF!,"OK","Chyba")</f>
        <v>#REF!</v>
      </c>
      <c r="E103" s="554">
        <f t="shared" si="2"/>
        <v>0</v>
      </c>
      <c r="F103" s="249"/>
      <c r="G103" s="249"/>
      <c r="H103" s="249"/>
      <c r="I103" s="249"/>
    </row>
    <row r="106" spans="1:9" ht="16" thickBot="1"/>
    <row r="107" spans="1:9">
      <c r="A107" s="762" t="e">
        <f>'Parametre - Agendové IS'!#REF!</f>
        <v>#REF!</v>
      </c>
      <c r="B107" s="763"/>
      <c r="C107" s="764"/>
      <c r="D107" s="768" t="s">
        <v>107</v>
      </c>
      <c r="E107" s="769"/>
      <c r="F107" s="360" t="s">
        <v>166</v>
      </c>
      <c r="G107" s="360" t="s">
        <v>167</v>
      </c>
      <c r="H107" s="360" t="s">
        <v>168</v>
      </c>
      <c r="I107" s="360" t="s">
        <v>170</v>
      </c>
    </row>
    <row r="108" spans="1:9" ht="16" thickBot="1">
      <c r="A108" s="765"/>
      <c r="B108" s="766"/>
      <c r="C108" s="767"/>
      <c r="D108" s="549" t="s">
        <v>356</v>
      </c>
      <c r="E108" s="550" t="s">
        <v>169</v>
      </c>
      <c r="F108" s="182" t="s">
        <v>169</v>
      </c>
      <c r="G108" s="182" t="s">
        <v>169</v>
      </c>
      <c r="H108" s="182" t="s">
        <v>169</v>
      </c>
      <c r="I108" s="182" t="s">
        <v>169</v>
      </c>
    </row>
    <row r="109" spans="1:9">
      <c r="A109" s="756" t="s">
        <v>43</v>
      </c>
      <c r="B109" s="759" t="s">
        <v>187</v>
      </c>
      <c r="C109" s="183" t="s">
        <v>25</v>
      </c>
      <c r="D109" s="551" t="e">
        <f>IF(E109='Parametre - Agendové IS'!#REF!,"OK","Chyba počtu FTE")</f>
        <v>#REF!</v>
      </c>
      <c r="E109" s="552">
        <f t="shared" ref="E109:E138" si="3">F109+G109+H109+I109</f>
        <v>0</v>
      </c>
      <c r="F109" s="248"/>
      <c r="G109" s="248"/>
      <c r="H109" s="248"/>
      <c r="I109" s="248"/>
    </row>
    <row r="110" spans="1:9">
      <c r="A110" s="757"/>
      <c r="B110" s="760"/>
      <c r="C110" s="180" t="s">
        <v>26</v>
      </c>
      <c r="D110" s="553" t="e">
        <f>IF(E110='Parametre - Agendové IS'!#REF!,"OK","Chyba počtu FTE")</f>
        <v>#REF!</v>
      </c>
      <c r="E110" s="554">
        <f t="shared" si="3"/>
        <v>0</v>
      </c>
      <c r="F110" s="249"/>
      <c r="G110" s="249"/>
      <c r="H110" s="249"/>
      <c r="I110" s="249"/>
    </row>
    <row r="111" spans="1:9">
      <c r="A111" s="757"/>
      <c r="B111" s="760"/>
      <c r="C111" s="180" t="s">
        <v>27</v>
      </c>
      <c r="D111" s="553" t="e">
        <f>IF(E111='Parametre - Agendové IS'!#REF!,"OK","Chyba počtu FTE")</f>
        <v>#REF!</v>
      </c>
      <c r="E111" s="554">
        <f t="shared" si="3"/>
        <v>0</v>
      </c>
      <c r="F111" s="249"/>
      <c r="G111" s="249"/>
      <c r="H111" s="249"/>
      <c r="I111" s="249"/>
    </row>
    <row r="112" spans="1:9">
      <c r="A112" s="757"/>
      <c r="B112" s="760"/>
      <c r="C112" s="180" t="s">
        <v>28</v>
      </c>
      <c r="D112" s="553" t="e">
        <f>IF(E112='Parametre - Agendové IS'!#REF!,"OK","Chyba počtu FTE")</f>
        <v>#REF!</v>
      </c>
      <c r="E112" s="554">
        <f t="shared" si="3"/>
        <v>0</v>
      </c>
      <c r="F112" s="249"/>
      <c r="G112" s="249"/>
      <c r="H112" s="249"/>
      <c r="I112" s="249"/>
    </row>
    <row r="113" spans="1:9">
      <c r="A113" s="757"/>
      <c r="B113" s="760"/>
      <c r="C113" s="180" t="s">
        <v>29</v>
      </c>
      <c r="D113" s="553" t="e">
        <f>IF(E113='Parametre - Agendové IS'!#REF!,"OK","Chyba počtu FTE")</f>
        <v>#REF!</v>
      </c>
      <c r="E113" s="554">
        <f t="shared" si="3"/>
        <v>0</v>
      </c>
      <c r="F113" s="249"/>
      <c r="G113" s="249"/>
      <c r="H113" s="249"/>
      <c r="I113" s="249"/>
    </row>
    <row r="114" spans="1:9">
      <c r="A114" s="757"/>
      <c r="B114" s="760"/>
      <c r="C114" s="180" t="s">
        <v>30</v>
      </c>
      <c r="D114" s="553" t="e">
        <f>IF(E114='Parametre - Agendové IS'!#REF!,"OK","Chyba počtu FTE")</f>
        <v>#REF!</v>
      </c>
      <c r="E114" s="554">
        <f t="shared" si="3"/>
        <v>0</v>
      </c>
      <c r="F114" s="249"/>
      <c r="G114" s="249"/>
      <c r="H114" s="249"/>
      <c r="I114" s="249"/>
    </row>
    <row r="115" spans="1:9">
      <c r="A115" s="757"/>
      <c r="B115" s="760"/>
      <c r="C115" s="180" t="s">
        <v>31</v>
      </c>
      <c r="D115" s="553" t="e">
        <f>IF(E115='Parametre - Agendové IS'!#REF!,"OK","Chyba počtu FTE")</f>
        <v>#REF!</v>
      </c>
      <c r="E115" s="554">
        <f t="shared" si="3"/>
        <v>0</v>
      </c>
      <c r="F115" s="249"/>
      <c r="G115" s="249"/>
      <c r="H115" s="249"/>
      <c r="I115" s="249"/>
    </row>
    <row r="116" spans="1:9">
      <c r="A116" s="757"/>
      <c r="B116" s="760"/>
      <c r="C116" s="180" t="s">
        <v>32</v>
      </c>
      <c r="D116" s="553" t="e">
        <f>IF(E116='Parametre - Agendové IS'!#REF!,"OK","Chyba počtu FTE")</f>
        <v>#REF!</v>
      </c>
      <c r="E116" s="554">
        <f t="shared" si="3"/>
        <v>0</v>
      </c>
      <c r="F116" s="249"/>
      <c r="G116" s="249"/>
      <c r="H116" s="249"/>
      <c r="I116" s="249"/>
    </row>
    <row r="117" spans="1:9">
      <c r="A117" s="757"/>
      <c r="B117" s="760"/>
      <c r="C117" s="180" t="s">
        <v>33</v>
      </c>
      <c r="D117" s="553" t="e">
        <f>IF(E117='Parametre - Agendové IS'!#REF!,"OK","Chyba počtu FTE")</f>
        <v>#REF!</v>
      </c>
      <c r="E117" s="554">
        <f t="shared" si="3"/>
        <v>0</v>
      </c>
      <c r="F117" s="249"/>
      <c r="G117" s="249"/>
      <c r="H117" s="249"/>
      <c r="I117" s="249"/>
    </row>
    <row r="118" spans="1:9" ht="16" thickBot="1">
      <c r="A118" s="757"/>
      <c r="B118" s="760"/>
      <c r="C118" s="180" t="s">
        <v>34</v>
      </c>
      <c r="D118" s="555" t="e">
        <f>IF(E118='Parametre - Agendové IS'!#REF!,"OK","Chyba počtu FTE")</f>
        <v>#REF!</v>
      </c>
      <c r="E118" s="556">
        <f t="shared" si="3"/>
        <v>0</v>
      </c>
      <c r="F118" s="250"/>
      <c r="G118" s="250"/>
      <c r="H118" s="250"/>
      <c r="I118" s="250"/>
    </row>
    <row r="119" spans="1:9">
      <c r="A119" s="756" t="s">
        <v>41</v>
      </c>
      <c r="B119" s="759" t="s">
        <v>37</v>
      </c>
      <c r="C119" s="183" t="s">
        <v>25</v>
      </c>
      <c r="D119" s="552" t="e">
        <f>IF(E119='Parametre - Agendové IS'!#REF!,"OK","Chyba počtu podaní")</f>
        <v>#REF!</v>
      </c>
      <c r="E119" s="557">
        <f t="shared" si="3"/>
        <v>0</v>
      </c>
      <c r="F119" s="248"/>
      <c r="G119" s="248"/>
      <c r="H119" s="248"/>
      <c r="I119" s="248"/>
    </row>
    <row r="120" spans="1:9">
      <c r="A120" s="757"/>
      <c r="B120" s="760"/>
      <c r="C120" s="180" t="s">
        <v>26</v>
      </c>
      <c r="D120" s="553" t="e">
        <f>IF(E120='Parametre - Agendové IS'!#REF!,"OK","Chyba počtu podaní")</f>
        <v>#REF!</v>
      </c>
      <c r="E120" s="554">
        <f t="shared" si="3"/>
        <v>0</v>
      </c>
      <c r="F120" s="249"/>
      <c r="G120" s="249"/>
      <c r="H120" s="249"/>
      <c r="I120" s="249"/>
    </row>
    <row r="121" spans="1:9">
      <c r="A121" s="757"/>
      <c r="B121" s="760"/>
      <c r="C121" s="180" t="s">
        <v>27</v>
      </c>
      <c r="D121" s="553" t="e">
        <f>IF(E121='Parametre - Agendové IS'!#REF!,"OK","Chyba počtu podaní")</f>
        <v>#REF!</v>
      </c>
      <c r="E121" s="554">
        <f t="shared" si="3"/>
        <v>0</v>
      </c>
      <c r="F121" s="249"/>
      <c r="G121" s="249"/>
      <c r="H121" s="249"/>
      <c r="I121" s="249"/>
    </row>
    <row r="122" spans="1:9">
      <c r="A122" s="757"/>
      <c r="B122" s="760"/>
      <c r="C122" s="180" t="s">
        <v>28</v>
      </c>
      <c r="D122" s="553" t="e">
        <f>IF(E122='Parametre - Agendové IS'!#REF!,"OK","Chyba počtu podaní")</f>
        <v>#REF!</v>
      </c>
      <c r="E122" s="554">
        <f t="shared" si="3"/>
        <v>0</v>
      </c>
      <c r="F122" s="249"/>
      <c r="G122" s="249"/>
      <c r="H122" s="249"/>
      <c r="I122" s="249"/>
    </row>
    <row r="123" spans="1:9">
      <c r="A123" s="757"/>
      <c r="B123" s="760"/>
      <c r="C123" s="180" t="s">
        <v>29</v>
      </c>
      <c r="D123" s="553" t="e">
        <f>IF(E123='Parametre - Agendové IS'!#REF!,"OK","Chyba počtu podaní")</f>
        <v>#REF!</v>
      </c>
      <c r="E123" s="554">
        <f t="shared" si="3"/>
        <v>0</v>
      </c>
      <c r="F123" s="249"/>
      <c r="G123" s="249"/>
      <c r="H123" s="249"/>
      <c r="I123" s="249"/>
    </row>
    <row r="124" spans="1:9">
      <c r="A124" s="757"/>
      <c r="B124" s="760"/>
      <c r="C124" s="180" t="s">
        <v>30</v>
      </c>
      <c r="D124" s="553" t="e">
        <f>IF(E124='Parametre - Agendové IS'!#REF!,"OK","Chyba počtu podaní")</f>
        <v>#REF!</v>
      </c>
      <c r="E124" s="554">
        <f t="shared" si="3"/>
        <v>0</v>
      </c>
      <c r="F124" s="249"/>
      <c r="G124" s="249"/>
      <c r="H124" s="249"/>
      <c r="I124" s="249"/>
    </row>
    <row r="125" spans="1:9">
      <c r="A125" s="757"/>
      <c r="B125" s="760"/>
      <c r="C125" s="180" t="s">
        <v>31</v>
      </c>
      <c r="D125" s="553" t="e">
        <f>IF(E125='Parametre - Agendové IS'!#REF!,"OK","Chyba počtu podaní")</f>
        <v>#REF!</v>
      </c>
      <c r="E125" s="554">
        <f t="shared" si="3"/>
        <v>0</v>
      </c>
      <c r="F125" s="249"/>
      <c r="G125" s="249"/>
      <c r="H125" s="249"/>
      <c r="I125" s="249"/>
    </row>
    <row r="126" spans="1:9">
      <c r="A126" s="757"/>
      <c r="B126" s="760"/>
      <c r="C126" s="180" t="s">
        <v>32</v>
      </c>
      <c r="D126" s="553" t="e">
        <f>IF(E126='Parametre - Agendové IS'!#REF!,"OK","Chyba počtu podaní")</f>
        <v>#REF!</v>
      </c>
      <c r="E126" s="554">
        <f t="shared" si="3"/>
        <v>0</v>
      </c>
      <c r="F126" s="249"/>
      <c r="G126" s="249"/>
      <c r="H126" s="249"/>
      <c r="I126" s="249"/>
    </row>
    <row r="127" spans="1:9">
      <c r="A127" s="757"/>
      <c r="B127" s="760"/>
      <c r="C127" s="180" t="s">
        <v>33</v>
      </c>
      <c r="D127" s="553" t="e">
        <f>IF(E127='Parametre - Agendové IS'!#REF!,"OK","Chyba počtu podaní")</f>
        <v>#REF!</v>
      </c>
      <c r="E127" s="554">
        <f t="shared" si="3"/>
        <v>0</v>
      </c>
      <c r="F127" s="249"/>
      <c r="G127" s="249"/>
      <c r="H127" s="249"/>
      <c r="I127" s="249"/>
    </row>
    <row r="128" spans="1:9" ht="16" thickBot="1">
      <c r="A128" s="758"/>
      <c r="B128" s="761"/>
      <c r="C128" s="181" t="s">
        <v>34</v>
      </c>
      <c r="D128" s="553" t="e">
        <f>IF(E128='Parametre - Agendové IS'!#REF!,"OK","Chyba počtu podaní")</f>
        <v>#REF!</v>
      </c>
      <c r="E128" s="554">
        <f t="shared" si="3"/>
        <v>0</v>
      </c>
      <c r="F128" s="249"/>
      <c r="G128" s="249"/>
      <c r="H128" s="249"/>
      <c r="I128" s="249"/>
    </row>
    <row r="129" spans="1:9">
      <c r="A129" s="756" t="s">
        <v>39</v>
      </c>
      <c r="B129" s="759" t="s">
        <v>13</v>
      </c>
      <c r="C129" s="183" t="s">
        <v>25</v>
      </c>
      <c r="D129" s="552" t="e">
        <f>IF(E129='Parametre - Agendové IS'!#REF!,"OK","Chyba")</f>
        <v>#REF!</v>
      </c>
      <c r="E129" s="557">
        <f t="shared" si="3"/>
        <v>0</v>
      </c>
      <c r="F129" s="248"/>
      <c r="G129" s="248"/>
      <c r="H129" s="248"/>
      <c r="I129" s="248"/>
    </row>
    <row r="130" spans="1:9">
      <c r="A130" s="757"/>
      <c r="B130" s="760"/>
      <c r="C130" s="180" t="s">
        <v>26</v>
      </c>
      <c r="D130" s="553" t="e">
        <f>IF(E130='Parametre - Agendové IS'!#REF!,"OK","Chyba")</f>
        <v>#REF!</v>
      </c>
      <c r="E130" s="554">
        <f t="shared" si="3"/>
        <v>0</v>
      </c>
      <c r="F130" s="249"/>
      <c r="G130" s="249"/>
      <c r="H130" s="249"/>
      <c r="I130" s="249"/>
    </row>
    <row r="131" spans="1:9">
      <c r="A131" s="757"/>
      <c r="B131" s="760"/>
      <c r="C131" s="180" t="s">
        <v>27</v>
      </c>
      <c r="D131" s="553" t="e">
        <f>IF(E131='Parametre - Agendové IS'!#REF!,"OK","Chyba")</f>
        <v>#REF!</v>
      </c>
      <c r="E131" s="554">
        <f t="shared" si="3"/>
        <v>0</v>
      </c>
      <c r="F131" s="249"/>
      <c r="G131" s="249"/>
      <c r="H131" s="249"/>
      <c r="I131" s="249"/>
    </row>
    <row r="132" spans="1:9">
      <c r="A132" s="757"/>
      <c r="B132" s="760"/>
      <c r="C132" s="180" t="s">
        <v>28</v>
      </c>
      <c r="D132" s="553" t="e">
        <f>IF(E132='Parametre - Agendové IS'!#REF!,"OK","Chyba")</f>
        <v>#REF!</v>
      </c>
      <c r="E132" s="554">
        <f t="shared" si="3"/>
        <v>0</v>
      </c>
      <c r="F132" s="249"/>
      <c r="G132" s="249"/>
      <c r="H132" s="249"/>
      <c r="I132" s="249"/>
    </row>
    <row r="133" spans="1:9">
      <c r="A133" s="757"/>
      <c r="B133" s="760"/>
      <c r="C133" s="180" t="s">
        <v>29</v>
      </c>
      <c r="D133" s="553" t="e">
        <f>IF(E133='Parametre - Agendové IS'!#REF!,"OK","Chyba")</f>
        <v>#REF!</v>
      </c>
      <c r="E133" s="554">
        <f t="shared" si="3"/>
        <v>0</v>
      </c>
      <c r="F133" s="249"/>
      <c r="G133" s="249"/>
      <c r="H133" s="249"/>
      <c r="I133" s="249"/>
    </row>
    <row r="134" spans="1:9">
      <c r="A134" s="757"/>
      <c r="B134" s="760"/>
      <c r="C134" s="180" t="s">
        <v>30</v>
      </c>
      <c r="D134" s="553" t="e">
        <f>IF(E134='Parametre - Agendové IS'!#REF!,"OK","Chyba")</f>
        <v>#REF!</v>
      </c>
      <c r="E134" s="554">
        <f t="shared" si="3"/>
        <v>0</v>
      </c>
      <c r="F134" s="249"/>
      <c r="G134" s="249"/>
      <c r="H134" s="249"/>
      <c r="I134" s="249"/>
    </row>
    <row r="135" spans="1:9">
      <c r="A135" s="757"/>
      <c r="B135" s="760"/>
      <c r="C135" s="180" t="s">
        <v>31</v>
      </c>
      <c r="D135" s="553" t="e">
        <f>IF(E135='Parametre - Agendové IS'!#REF!,"OK","Chyba")</f>
        <v>#REF!</v>
      </c>
      <c r="E135" s="554">
        <f t="shared" si="3"/>
        <v>0</v>
      </c>
      <c r="F135" s="249"/>
      <c r="G135" s="249"/>
      <c r="H135" s="249"/>
      <c r="I135" s="249"/>
    </row>
    <row r="136" spans="1:9">
      <c r="A136" s="757"/>
      <c r="B136" s="760"/>
      <c r="C136" s="180" t="s">
        <v>32</v>
      </c>
      <c r="D136" s="553" t="e">
        <f>IF(E136='Parametre - Agendové IS'!#REF!,"OK","Chyba")</f>
        <v>#REF!</v>
      </c>
      <c r="E136" s="554">
        <f t="shared" si="3"/>
        <v>0</v>
      </c>
      <c r="F136" s="249"/>
      <c r="G136" s="249"/>
      <c r="H136" s="249"/>
      <c r="I136" s="249"/>
    </row>
    <row r="137" spans="1:9">
      <c r="A137" s="757"/>
      <c r="B137" s="760"/>
      <c r="C137" s="180" t="s">
        <v>33</v>
      </c>
      <c r="D137" s="553" t="e">
        <f>IF(E137='Parametre - Agendové IS'!#REF!,"OK","Chyba")</f>
        <v>#REF!</v>
      </c>
      <c r="E137" s="554">
        <f t="shared" si="3"/>
        <v>0</v>
      </c>
      <c r="F137" s="249"/>
      <c r="G137" s="249"/>
      <c r="H137" s="249"/>
      <c r="I137" s="249"/>
    </row>
    <row r="138" spans="1:9" ht="16" thickBot="1">
      <c r="A138" s="758"/>
      <c r="B138" s="761"/>
      <c r="C138" s="181" t="s">
        <v>34</v>
      </c>
      <c r="D138" s="553" t="e">
        <f>IF(E138='Parametre - Agendové IS'!#REF!,"OK","Chyba")</f>
        <v>#REF!</v>
      </c>
      <c r="E138" s="554">
        <f t="shared" si="3"/>
        <v>0</v>
      </c>
      <c r="F138" s="249"/>
      <c r="G138" s="249"/>
      <c r="H138" s="249"/>
      <c r="I138" s="249"/>
    </row>
  </sheetData>
  <mergeCells count="32">
    <mergeCell ref="A119:A128"/>
    <mergeCell ref="B119:B128"/>
    <mergeCell ref="A109:A118"/>
    <mergeCell ref="B109:B118"/>
    <mergeCell ref="A84:A93"/>
    <mergeCell ref="B84:B93"/>
    <mergeCell ref="A107:C108"/>
    <mergeCell ref="D107:E107"/>
    <mergeCell ref="D72:E72"/>
    <mergeCell ref="D37:E37"/>
    <mergeCell ref="D2:E2"/>
    <mergeCell ref="A2:C3"/>
    <mergeCell ref="B4:B13"/>
    <mergeCell ref="A14:A23"/>
    <mergeCell ref="B14:B23"/>
    <mergeCell ref="A4:A13"/>
    <mergeCell ref="A129:A138"/>
    <mergeCell ref="B129:B138"/>
    <mergeCell ref="A24:A33"/>
    <mergeCell ref="B24:B33"/>
    <mergeCell ref="A59:A68"/>
    <mergeCell ref="B59:B68"/>
    <mergeCell ref="A94:A103"/>
    <mergeCell ref="B94:B103"/>
    <mergeCell ref="A37:C38"/>
    <mergeCell ref="A39:A48"/>
    <mergeCell ref="B39:B48"/>
    <mergeCell ref="A49:A58"/>
    <mergeCell ref="B49:B58"/>
    <mergeCell ref="A72:C73"/>
    <mergeCell ref="A74:A83"/>
    <mergeCell ref="B74:B83"/>
  </mergeCells>
  <pageMargins left="0.7" right="0.7" top="0.75" bottom="0.75" header="0.3" footer="0.3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21C2984FC99468E9248CF5B1CCE6A" ma:contentTypeVersion="2" ma:contentTypeDescription="Create a new document." ma:contentTypeScope="" ma:versionID="b8fa809f730782acc458448f46400d67">
  <xsd:schema xmlns:xsd="http://www.w3.org/2001/XMLSchema" xmlns:xs="http://www.w3.org/2001/XMLSchema" xmlns:p="http://schemas.microsoft.com/office/2006/metadata/properties" xmlns:ns3="666d1d09-e9df-4d02-809a-b7b1235d8631" targetNamespace="http://schemas.microsoft.com/office/2006/metadata/properties" ma:root="true" ma:fieldsID="8345670fcb6fa5b1cbac8df0e2bb04f6" ns3:_="">
    <xsd:import namespace="666d1d09-e9df-4d02-809a-b7b1235d86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d1d09-e9df-4d02-809a-b7b1235d8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6DD9EF-FB65-41F3-8E18-D23EFEFBD4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66d1d09-e9df-4d02-809a-b7b1235d863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398520-8742-49B6-9826-4F0B6A290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B8F823-AA53-418A-BF97-9A576CE4F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d1d09-e9df-4d02-809a-b7b1235d86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21</vt:i4>
      </vt:variant>
    </vt:vector>
  </HeadingPairs>
  <TitlesOfParts>
    <vt:vector size="21" baseType="lpstr">
      <vt:lpstr>Úvod</vt:lpstr>
      <vt:lpstr>Zoznam hárkov</vt:lpstr>
      <vt:lpstr>Sumarizácia</vt:lpstr>
      <vt:lpstr>CBA - Agendové IS</vt:lpstr>
      <vt:lpstr>Analyza citlivosti - AgendovéIS</vt:lpstr>
      <vt:lpstr>Prínosy - Agendové IS</vt:lpstr>
      <vt:lpstr>Výdavky - Agendové IS</vt:lpstr>
      <vt:lpstr>Parametre - Agendové IS</vt:lpstr>
      <vt:lpstr>TCO</vt:lpstr>
      <vt:lpstr>TCO AS IS - SW</vt:lpstr>
      <vt:lpstr>TCO AS IS - HW</vt:lpstr>
      <vt:lpstr>TCO TO BE- SW</vt:lpstr>
      <vt:lpstr>TCO TO BE - HW</vt:lpstr>
      <vt:lpstr>Rozpočet - vývoj Aplikácií</vt:lpstr>
      <vt:lpstr>Rozpočet - HW a licencie</vt:lpstr>
      <vt:lpstr>Slepý rozpočet</vt:lpstr>
      <vt:lpstr>Faktory</vt:lpstr>
      <vt:lpstr>Procesné mapy</vt:lpstr>
      <vt:lpstr>Procesy - AS IS</vt:lpstr>
      <vt:lpstr>Procesy - TO BE</vt:lpstr>
      <vt:lpstr>Rozdelenie prínosov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Krok Martin</dc:creator>
  <cp:lastModifiedBy>Microsoft Office User</cp:lastModifiedBy>
  <cp:lastPrinted>2018-08-24T09:21:09Z</cp:lastPrinted>
  <dcterms:created xsi:type="dcterms:W3CDTF">2015-01-29T13:50:20Z</dcterms:created>
  <dcterms:modified xsi:type="dcterms:W3CDTF">2019-12-12T09:45:16Z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0x010100A8D21C2984FC99468E9248CF5B1CCE6A</vt:lpwstr>
  </property>
</Properties>
</file>